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ina.ratilainen\Dropbox (Sky-Media Oy)\Yhteiset\2020\Alkuperämaat ja tullikoodit\"/>
    </mc:Choice>
  </mc:AlternateContent>
  <bookViews>
    <workbookView xWindow="0" yWindow="0" windowWidth="28800" windowHeight="10275"/>
  </bookViews>
  <sheets>
    <sheet name="Result" sheetId="1" r:id="rId1"/>
    <sheet name="Headwear" sheetId="2" r:id="rId2"/>
    <sheet name="Spiro" sheetId="3" r:id="rId3"/>
    <sheet name="RESULT HYGIENE" sheetId="4" r:id="rId4"/>
  </sheets>
  <definedNames>
    <definedName name="_xlnm._FilterDatabase" localSheetId="0" hidden="1">Result!$A$1:$R$452</definedName>
    <definedName name="_xlnm.Print_Area" localSheetId="1">Headwear!$A$1:$O$86</definedName>
    <definedName name="_xlnm.Print_Area" localSheetId="0">Result!$A$1:$N$444</definedName>
    <definedName name="_xlnm.Print_Titles" localSheetId="1">Headwear!$1:$2</definedName>
    <definedName name="_xlnm.Print_Titles" localSheetId="0">Result!$1:$2</definedName>
    <definedName name="_xlnm.Print_Titles" localSheetId="2">Spiro!$1:$1</definedName>
  </definedNames>
  <calcPr calcId="152511"/>
</workbook>
</file>

<file path=xl/calcChain.xml><?xml version="1.0" encoding="utf-8"?>
<calcChain xmlns="http://schemas.openxmlformats.org/spreadsheetml/2006/main">
  <c r="J18" i="4" l="1"/>
  <c r="L17" i="4" l="1"/>
  <c r="J17" i="4"/>
  <c r="L3" i="4" l="1"/>
  <c r="L7" i="4"/>
  <c r="L6" i="4"/>
  <c r="J5" i="4"/>
  <c r="L16" i="4" l="1"/>
  <c r="J16" i="4"/>
  <c r="L11" i="4" l="1"/>
  <c r="L13" i="4"/>
  <c r="L14" i="4"/>
  <c r="L12" i="4"/>
  <c r="L4" i="4"/>
  <c r="L8" i="4"/>
  <c r="L10" i="4"/>
  <c r="L9" i="4"/>
  <c r="J10" i="4"/>
  <c r="J4" i="4" l="1"/>
  <c r="J7" i="4"/>
  <c r="J8" i="4"/>
  <c r="J9" i="4"/>
  <c r="J11" i="4"/>
  <c r="J12" i="4"/>
  <c r="J15" i="4"/>
  <c r="J6" i="4"/>
  <c r="J3" i="4"/>
  <c r="J201" i="1" l="1"/>
  <c r="L199" i="1" l="1"/>
  <c r="J199" i="1"/>
  <c r="J452" i="1" l="1"/>
  <c r="L452" i="1" l="1"/>
  <c r="L449" i="1"/>
  <c r="J449" i="1"/>
  <c r="J450" i="1"/>
  <c r="J451" i="1"/>
  <c r="L448" i="1"/>
  <c r="J448" i="1"/>
  <c r="L438" i="1" l="1"/>
  <c r="L437" i="1"/>
  <c r="J437" i="1"/>
  <c r="J438" i="1"/>
  <c r="J287" i="1" l="1"/>
  <c r="J288" i="1"/>
  <c r="L287" i="1" l="1"/>
  <c r="K15" i="2" l="1"/>
  <c r="M25" i="2" l="1"/>
  <c r="K25" i="2"/>
  <c r="L447" i="1" l="1"/>
  <c r="J447" i="1"/>
  <c r="L445" i="1"/>
  <c r="J445" i="1"/>
  <c r="J446" i="1"/>
  <c r="L306" i="1" l="1"/>
  <c r="J306" i="1"/>
  <c r="K81" i="2"/>
  <c r="K80" i="2"/>
  <c r="M17" i="2" l="1"/>
  <c r="M16" i="2"/>
  <c r="K17" i="2"/>
  <c r="K16" i="2"/>
  <c r="L82" i="3" l="1"/>
  <c r="L84" i="3" l="1"/>
  <c r="J84" i="3"/>
  <c r="L83" i="3"/>
  <c r="L38" i="3"/>
  <c r="L36" i="3"/>
  <c r="J83" i="3"/>
  <c r="J38" i="3"/>
  <c r="J39" i="3"/>
  <c r="J36" i="3"/>
  <c r="J37" i="3"/>
  <c r="J444" i="1" l="1"/>
  <c r="J443" i="1"/>
  <c r="J442" i="1"/>
  <c r="L98" i="3" l="1"/>
  <c r="J98" i="3"/>
  <c r="J99" i="3"/>
  <c r="L427" i="1"/>
  <c r="L426" i="1"/>
  <c r="L425" i="1"/>
  <c r="J425" i="1"/>
  <c r="J426" i="1"/>
  <c r="J427" i="1"/>
  <c r="L430" i="1"/>
  <c r="L429" i="1"/>
  <c r="L428" i="1"/>
  <c r="J429" i="1"/>
  <c r="J430" i="1"/>
  <c r="J428" i="1"/>
  <c r="L434" i="1"/>
  <c r="L433" i="1"/>
  <c r="L431" i="1"/>
  <c r="J432" i="1"/>
  <c r="J433" i="1"/>
  <c r="J434" i="1"/>
  <c r="J431" i="1"/>
  <c r="J82" i="3"/>
  <c r="L441" i="1"/>
  <c r="J441" i="1"/>
  <c r="L439" i="1"/>
  <c r="J439" i="1"/>
  <c r="J440" i="1"/>
  <c r="J170" i="1" l="1"/>
  <c r="L111" i="3" l="1"/>
  <c r="L110" i="3"/>
  <c r="J110" i="3"/>
  <c r="J111" i="3"/>
  <c r="L109" i="3"/>
  <c r="L108" i="3"/>
  <c r="J108" i="3"/>
  <c r="J109" i="3"/>
  <c r="L107" i="3"/>
  <c r="J107" i="3"/>
  <c r="J97" i="1" l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L23" i="3"/>
  <c r="J24" i="3"/>
  <c r="L24" i="3"/>
  <c r="J25" i="3"/>
  <c r="L25" i="3"/>
  <c r="J26" i="3"/>
  <c r="L26" i="3"/>
  <c r="J27" i="3"/>
  <c r="L27" i="3"/>
  <c r="J28" i="3"/>
  <c r="L28" i="3"/>
  <c r="J29" i="3"/>
  <c r="L29" i="3"/>
  <c r="J30" i="3"/>
  <c r="J31" i="3"/>
  <c r="L31" i="3"/>
  <c r="J32" i="3"/>
  <c r="J33" i="3"/>
  <c r="J34" i="3"/>
  <c r="J35" i="3"/>
  <c r="J40" i="3"/>
  <c r="J41" i="3"/>
  <c r="J42" i="3"/>
  <c r="J43" i="3"/>
  <c r="J44" i="3"/>
  <c r="J45" i="3"/>
  <c r="J46" i="3"/>
  <c r="L46" i="3"/>
  <c r="J47" i="3"/>
  <c r="J48" i="3"/>
  <c r="J49" i="3"/>
  <c r="J50" i="3"/>
  <c r="J51" i="3"/>
  <c r="J52" i="3"/>
  <c r="J53" i="3"/>
  <c r="J54" i="3"/>
  <c r="J55" i="3"/>
  <c r="J56" i="3"/>
  <c r="J57" i="3"/>
  <c r="J58" i="3"/>
  <c r="L58" i="3"/>
  <c r="J59" i="3"/>
  <c r="J60" i="3"/>
  <c r="J61" i="3"/>
  <c r="J62" i="3"/>
  <c r="J63" i="3"/>
  <c r="J64" i="3"/>
  <c r="J65" i="3"/>
  <c r="J66" i="3"/>
  <c r="J67" i="3"/>
  <c r="L67" i="3"/>
  <c r="J68" i="3"/>
  <c r="J69" i="3"/>
  <c r="J70" i="3"/>
  <c r="J71" i="3"/>
  <c r="J72" i="3"/>
  <c r="J73" i="3"/>
  <c r="J74" i="3"/>
  <c r="L74" i="3"/>
  <c r="J75" i="3"/>
  <c r="J76" i="3"/>
  <c r="J77" i="3"/>
  <c r="L77" i="3"/>
  <c r="J78" i="3"/>
  <c r="J79" i="3"/>
  <c r="J80" i="3"/>
  <c r="J81" i="3"/>
  <c r="J85" i="3"/>
  <c r="J86" i="3"/>
  <c r="J87" i="3"/>
  <c r="J88" i="3"/>
  <c r="J89" i="3"/>
  <c r="J90" i="3"/>
  <c r="J91" i="3"/>
  <c r="J92" i="3"/>
  <c r="J93" i="3"/>
  <c r="J96" i="3"/>
  <c r="L96" i="3"/>
  <c r="J97" i="3"/>
  <c r="L97" i="3"/>
  <c r="J100" i="3"/>
  <c r="L100" i="3"/>
  <c r="J101" i="3"/>
  <c r="L101" i="3"/>
  <c r="J102" i="3"/>
  <c r="L102" i="3"/>
  <c r="J103" i="3"/>
  <c r="L103" i="3"/>
  <c r="J104" i="3"/>
  <c r="J105" i="3"/>
  <c r="J106" i="3"/>
  <c r="K3" i="2"/>
  <c r="M3" i="2"/>
  <c r="K4" i="2"/>
  <c r="M4" i="2"/>
  <c r="K5" i="2"/>
  <c r="M5" i="2"/>
  <c r="K6" i="2"/>
  <c r="M6" i="2"/>
  <c r="K7" i="2"/>
  <c r="M7" i="2"/>
  <c r="K8" i="2"/>
  <c r="M8" i="2"/>
  <c r="K9" i="2"/>
  <c r="M9" i="2"/>
  <c r="K10" i="2"/>
  <c r="M10" i="2"/>
  <c r="K11" i="2"/>
  <c r="M11" i="2"/>
  <c r="K12" i="2"/>
  <c r="M12" i="2"/>
  <c r="K13" i="2"/>
  <c r="M13" i="2"/>
  <c r="K14" i="2"/>
  <c r="M14" i="2"/>
  <c r="K18" i="2"/>
  <c r="M18" i="2"/>
  <c r="K19" i="2"/>
  <c r="M19" i="2"/>
  <c r="K20" i="2"/>
  <c r="M20" i="2"/>
  <c r="K21" i="2"/>
  <c r="M21" i="2"/>
  <c r="K22" i="2"/>
  <c r="M22" i="2"/>
  <c r="K23" i="2"/>
  <c r="M23" i="2"/>
  <c r="K24" i="2"/>
  <c r="M24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K41" i="2"/>
  <c r="M41" i="2"/>
  <c r="K42" i="2"/>
  <c r="M42" i="2"/>
  <c r="K43" i="2"/>
  <c r="M43" i="2"/>
  <c r="K44" i="2"/>
  <c r="M44" i="2"/>
  <c r="K45" i="2"/>
  <c r="M45" i="2"/>
  <c r="K46" i="2"/>
  <c r="M46" i="2"/>
  <c r="K47" i="2"/>
  <c r="M47" i="2"/>
  <c r="K48" i="2"/>
  <c r="M48" i="2"/>
  <c r="K49" i="2"/>
  <c r="M49" i="2"/>
  <c r="K50" i="2"/>
  <c r="M50" i="2"/>
  <c r="K51" i="2"/>
  <c r="M51" i="2"/>
  <c r="K52" i="2"/>
  <c r="M52" i="2"/>
  <c r="K53" i="2"/>
  <c r="M53" i="2"/>
  <c r="K54" i="2"/>
  <c r="M54" i="2"/>
  <c r="K55" i="2"/>
  <c r="M55" i="2"/>
  <c r="K56" i="2"/>
  <c r="M56" i="2"/>
  <c r="K57" i="2"/>
  <c r="M57" i="2"/>
  <c r="K58" i="2"/>
  <c r="M58" i="2"/>
  <c r="K59" i="2"/>
  <c r="M59" i="2"/>
  <c r="K60" i="2"/>
  <c r="M60" i="2"/>
  <c r="K61" i="2"/>
  <c r="M61" i="2"/>
  <c r="K62" i="2"/>
  <c r="K63" i="2"/>
  <c r="M63" i="2"/>
  <c r="K64" i="2"/>
  <c r="M64" i="2"/>
  <c r="K65" i="2"/>
  <c r="M65" i="2"/>
  <c r="K68" i="2"/>
  <c r="M68" i="2"/>
  <c r="K69" i="2"/>
  <c r="M69" i="2"/>
  <c r="K70" i="2"/>
  <c r="M70" i="2"/>
  <c r="K71" i="2"/>
  <c r="M71" i="2"/>
  <c r="K72" i="2"/>
  <c r="M72" i="2"/>
  <c r="K73" i="2"/>
  <c r="M73" i="2"/>
  <c r="K74" i="2"/>
  <c r="M74" i="2"/>
  <c r="K75" i="2"/>
  <c r="M75" i="2"/>
  <c r="K76" i="2"/>
  <c r="M76" i="2"/>
  <c r="K77" i="2"/>
  <c r="M77" i="2"/>
  <c r="K78" i="2"/>
  <c r="K79" i="2"/>
  <c r="M79" i="2"/>
  <c r="K83" i="2"/>
  <c r="K84" i="2"/>
  <c r="M84" i="2"/>
  <c r="K85" i="2"/>
  <c r="M85" i="2"/>
  <c r="K86" i="2"/>
  <c r="K87" i="2"/>
  <c r="K88" i="2"/>
  <c r="K89" i="2"/>
  <c r="J3" i="1"/>
  <c r="J4" i="1"/>
  <c r="J5" i="1"/>
  <c r="J6" i="1"/>
  <c r="L6" i="1"/>
  <c r="J7" i="1"/>
  <c r="L7" i="1"/>
  <c r="J8" i="1"/>
  <c r="J9" i="1"/>
  <c r="J10" i="1"/>
  <c r="J11" i="1"/>
  <c r="J12" i="1"/>
  <c r="J13" i="1"/>
  <c r="L13" i="1"/>
  <c r="J14" i="1"/>
  <c r="J15" i="1"/>
  <c r="L15" i="1"/>
  <c r="J16" i="1"/>
  <c r="L16" i="1"/>
  <c r="J17" i="1"/>
  <c r="L17" i="1"/>
  <c r="J18" i="1"/>
  <c r="J19" i="1"/>
  <c r="L19" i="1"/>
  <c r="J20" i="1"/>
  <c r="L20" i="1"/>
  <c r="J21" i="1"/>
  <c r="L21" i="1"/>
  <c r="J22" i="1"/>
  <c r="J23" i="1"/>
  <c r="L23" i="1"/>
  <c r="J24" i="1"/>
  <c r="L24" i="1"/>
  <c r="J25" i="1"/>
  <c r="L25" i="1"/>
  <c r="J26" i="1"/>
  <c r="L26" i="1"/>
  <c r="J27" i="1"/>
  <c r="L27" i="1"/>
  <c r="J30" i="1"/>
  <c r="L30" i="1"/>
  <c r="J31" i="1"/>
  <c r="J32" i="1"/>
  <c r="J33" i="1"/>
  <c r="J34" i="1"/>
  <c r="L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L57" i="1"/>
  <c r="J58" i="1"/>
  <c r="L58" i="1"/>
  <c r="J59" i="1"/>
  <c r="J60" i="1"/>
  <c r="J61" i="1"/>
  <c r="J62" i="1"/>
  <c r="J63" i="1"/>
  <c r="J64" i="1"/>
  <c r="J65" i="1"/>
  <c r="J66" i="1"/>
  <c r="L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L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L124" i="1"/>
  <c r="J125" i="1"/>
  <c r="J126" i="1"/>
  <c r="J127" i="1"/>
  <c r="J128" i="1"/>
  <c r="J129" i="1"/>
  <c r="L129" i="1"/>
  <c r="J130" i="1"/>
  <c r="L130" i="1"/>
  <c r="J131" i="1"/>
  <c r="L131" i="1"/>
  <c r="J132" i="1"/>
  <c r="L132" i="1"/>
  <c r="J133" i="1"/>
  <c r="L133" i="1"/>
  <c r="J134" i="1"/>
  <c r="L134" i="1"/>
  <c r="J135" i="1"/>
  <c r="L135" i="1"/>
  <c r="J136" i="1"/>
  <c r="L136" i="1"/>
  <c r="J137" i="1"/>
  <c r="J138" i="1"/>
  <c r="J139" i="1"/>
  <c r="J140" i="1"/>
  <c r="J141" i="1"/>
  <c r="L141" i="1"/>
  <c r="J142" i="1"/>
  <c r="L142" i="1"/>
  <c r="J143" i="1"/>
  <c r="L143" i="1"/>
  <c r="J144" i="1"/>
  <c r="L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L165" i="1"/>
  <c r="J166" i="1"/>
  <c r="J167" i="1"/>
  <c r="L167" i="1"/>
  <c r="J168" i="1"/>
  <c r="L168" i="1"/>
  <c r="J169" i="1"/>
  <c r="L169" i="1"/>
  <c r="J171" i="1"/>
  <c r="J172" i="1"/>
  <c r="J173" i="1"/>
  <c r="J174" i="1"/>
  <c r="J175" i="1"/>
  <c r="L175" i="1"/>
  <c r="J176" i="1"/>
  <c r="L176" i="1"/>
  <c r="J177" i="1"/>
  <c r="J178" i="1"/>
  <c r="J179" i="1"/>
  <c r="J180" i="1"/>
  <c r="J181" i="1"/>
  <c r="L181" i="1"/>
  <c r="J182" i="1"/>
  <c r="L182" i="1"/>
  <c r="J183" i="1"/>
  <c r="L183" i="1"/>
  <c r="J184" i="1"/>
  <c r="L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200" i="1"/>
  <c r="J202" i="1"/>
  <c r="L202" i="1"/>
  <c r="J203" i="1"/>
  <c r="J204" i="1"/>
  <c r="J205" i="1"/>
  <c r="L205" i="1"/>
  <c r="J206" i="1"/>
  <c r="J207" i="1"/>
  <c r="L207" i="1"/>
  <c r="J208" i="1"/>
  <c r="J209" i="1"/>
  <c r="L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L237" i="1"/>
  <c r="J238" i="1"/>
  <c r="J239" i="1"/>
  <c r="L239" i="1"/>
  <c r="J240" i="1"/>
  <c r="L240" i="1"/>
  <c r="J241" i="1"/>
  <c r="L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L255" i="1"/>
  <c r="J256" i="1"/>
  <c r="J257" i="1"/>
  <c r="L257" i="1"/>
  <c r="J258" i="1"/>
  <c r="L258" i="1"/>
  <c r="J259" i="1"/>
  <c r="J260" i="1"/>
  <c r="J261" i="1"/>
  <c r="J262" i="1"/>
  <c r="J263" i="1"/>
  <c r="J264" i="1"/>
  <c r="J265" i="1"/>
  <c r="L265" i="1"/>
  <c r="J266" i="1"/>
  <c r="J267" i="1"/>
  <c r="J268" i="1"/>
  <c r="J269" i="1"/>
  <c r="J270" i="1"/>
  <c r="J271" i="1"/>
  <c r="J272" i="1"/>
  <c r="J273" i="1"/>
  <c r="J274" i="1"/>
  <c r="J275" i="1"/>
  <c r="L275" i="1"/>
  <c r="J276" i="1"/>
  <c r="L276" i="1"/>
  <c r="J277" i="1"/>
  <c r="L277" i="1"/>
  <c r="J278" i="1"/>
  <c r="L278" i="1"/>
  <c r="J279" i="1"/>
  <c r="L279" i="1"/>
  <c r="J280" i="1"/>
  <c r="J281" i="1"/>
  <c r="J282" i="1"/>
  <c r="J283" i="1"/>
  <c r="J284" i="1"/>
  <c r="J285" i="1"/>
  <c r="L285" i="1"/>
  <c r="J286" i="1"/>
  <c r="L286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L310" i="1"/>
  <c r="J311" i="1"/>
  <c r="L311" i="1"/>
  <c r="J312" i="1"/>
  <c r="L312" i="1"/>
  <c r="J313" i="1"/>
  <c r="L313" i="1"/>
  <c r="J314" i="1"/>
  <c r="L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L333" i="1"/>
  <c r="J334" i="1"/>
  <c r="L334" i="1"/>
  <c r="J335" i="1"/>
  <c r="L335" i="1"/>
  <c r="J336" i="1"/>
  <c r="J337" i="1"/>
  <c r="J338" i="1"/>
  <c r="J339" i="1"/>
  <c r="J340" i="1"/>
  <c r="J341" i="1"/>
  <c r="J342" i="1"/>
  <c r="J343" i="1"/>
  <c r="L343" i="1"/>
  <c r="J344" i="1"/>
  <c r="L344" i="1"/>
  <c r="J345" i="1"/>
  <c r="L345" i="1"/>
  <c r="J346" i="1"/>
  <c r="L346" i="1"/>
  <c r="J347" i="1"/>
  <c r="L347" i="1"/>
  <c r="J348" i="1"/>
  <c r="J349" i="1"/>
  <c r="L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L382" i="1"/>
  <c r="J383" i="1"/>
  <c r="L383" i="1"/>
  <c r="J384" i="1"/>
  <c r="L384" i="1"/>
  <c r="J385" i="1"/>
  <c r="L385" i="1"/>
  <c r="L386" i="1"/>
  <c r="J388" i="1"/>
  <c r="L388" i="1"/>
  <c r="J389" i="1"/>
  <c r="L389" i="1"/>
  <c r="J390" i="1"/>
  <c r="L390" i="1"/>
  <c r="J391" i="1"/>
  <c r="L391" i="1"/>
  <c r="J393" i="1"/>
  <c r="L393" i="1"/>
  <c r="J394" i="1"/>
  <c r="J395" i="1"/>
  <c r="J396" i="1"/>
  <c r="J397" i="1"/>
  <c r="J398" i="1"/>
  <c r="J399" i="1"/>
  <c r="J400" i="1"/>
  <c r="J401" i="1"/>
  <c r="J402" i="1"/>
  <c r="L402" i="1"/>
  <c r="J403" i="1"/>
  <c r="L403" i="1"/>
  <c r="J404" i="1"/>
  <c r="J405" i="1"/>
  <c r="L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L422" i="1"/>
  <c r="J423" i="1"/>
  <c r="L423" i="1"/>
  <c r="J424" i="1"/>
  <c r="L424" i="1"/>
  <c r="J435" i="1"/>
  <c r="L435" i="1"/>
  <c r="J436" i="1"/>
</calcChain>
</file>

<file path=xl/sharedStrings.xml><?xml version="1.0" encoding="utf-8"?>
<sst xmlns="http://schemas.openxmlformats.org/spreadsheetml/2006/main" count="3756" uniqueCount="1135">
  <si>
    <t>STOCK CODE</t>
  </si>
  <si>
    <t>STOCK DESCRIPTION</t>
  </si>
  <si>
    <t>CTN QTY</t>
  </si>
  <si>
    <t>CUSTOMS CODE</t>
  </si>
  <si>
    <t>ORIGIN</t>
  </si>
  <si>
    <t>S/M, L/XL</t>
  </si>
  <si>
    <t>China</t>
  </si>
  <si>
    <t>S ~ L</t>
  </si>
  <si>
    <t>XS ~ XL</t>
  </si>
  <si>
    <t>O/S</t>
  </si>
  <si>
    <t>Fashion Cut Blouson</t>
  </si>
  <si>
    <t>Fleece Lined Bodywarmer</t>
  </si>
  <si>
    <t>Safari Waistcoat</t>
  </si>
  <si>
    <t>Classic Flying Jacket</t>
  </si>
  <si>
    <t>Windcheater in a Bag</t>
  </si>
  <si>
    <t>Junior Windcheater in a Bag</t>
  </si>
  <si>
    <t>S  ~ XL</t>
  </si>
  <si>
    <t xml:space="preserve">Promo Bodywarmer </t>
  </si>
  <si>
    <t>Alaska 3-in-1 Jacket</t>
  </si>
  <si>
    <t>Shoreline Waterproof Blouson</t>
  </si>
  <si>
    <t>XS ~ 3XL</t>
  </si>
  <si>
    <t>City Executive Coat</t>
  </si>
  <si>
    <t>Padded Bodywarmer</t>
  </si>
  <si>
    <t>XS ~ 2XL</t>
  </si>
  <si>
    <t>R122F</t>
  </si>
  <si>
    <t>Soft Shell Bodywarmer</t>
  </si>
  <si>
    <t>Waterproof Leisure Jacket</t>
  </si>
  <si>
    <t>R212J</t>
  </si>
  <si>
    <t>S ~ 4XL</t>
  </si>
  <si>
    <t>S ~ 3XL</t>
  </si>
  <si>
    <t>Waterproof Crew Jacket</t>
  </si>
  <si>
    <t>Crew Gillet</t>
  </si>
  <si>
    <t>Waterproof 2000 Pro-Coach Jacket</t>
  </si>
  <si>
    <t>Waterproof 2000 Pro-Coach Trousers</t>
  </si>
  <si>
    <t>Blade Soft Shell Jacket</t>
  </si>
  <si>
    <t>Heavy Duty Combo Coat</t>
  </si>
  <si>
    <t>Management Coat</t>
  </si>
  <si>
    <t>Lance Bodywarmer</t>
  </si>
  <si>
    <t>Safety Vest Storage Bag</t>
  </si>
  <si>
    <t>3-in-1 Zip and Clip Jacket</t>
  </si>
  <si>
    <t>Multi-function Winter Jacket</t>
  </si>
  <si>
    <t>N/A</t>
  </si>
  <si>
    <t>R103X</t>
  </si>
  <si>
    <t>Aqua-Tech High Performance Team Jacket</t>
  </si>
  <si>
    <t>R115F</t>
  </si>
  <si>
    <t>R131M</t>
  </si>
  <si>
    <t>R131F</t>
  </si>
  <si>
    <t>S ~ 2XL</t>
  </si>
  <si>
    <t>R134X</t>
  </si>
  <si>
    <t>S/M                L/XL</t>
  </si>
  <si>
    <t>R100X</t>
  </si>
  <si>
    <t>R105X</t>
  </si>
  <si>
    <t>R109X</t>
  </si>
  <si>
    <t>R110X</t>
  </si>
  <si>
    <t>R113X</t>
  </si>
  <si>
    <t>R117X</t>
  </si>
  <si>
    <t>R118X</t>
  </si>
  <si>
    <t>R119X</t>
  </si>
  <si>
    <t>R120X</t>
  </si>
  <si>
    <t>R123X</t>
  </si>
  <si>
    <t>R124X</t>
  </si>
  <si>
    <t>R125X</t>
  </si>
  <si>
    <t>R126X</t>
  </si>
  <si>
    <t>R127X</t>
  </si>
  <si>
    <t>R133X</t>
  </si>
  <si>
    <t>R135X</t>
  </si>
  <si>
    <t>R136X</t>
  </si>
  <si>
    <t>R155X</t>
  </si>
  <si>
    <t>R156X</t>
  </si>
  <si>
    <t>R157X</t>
  </si>
  <si>
    <t>R160X</t>
  </si>
  <si>
    <t>R210X</t>
  </si>
  <si>
    <t>R211X</t>
  </si>
  <si>
    <t>R213X</t>
  </si>
  <si>
    <t>R143X</t>
  </si>
  <si>
    <t>R144X</t>
  </si>
  <si>
    <t>TECH3 Sport Fleece Top</t>
  </si>
  <si>
    <t>Junior Ultra Padded Bodywarmer</t>
  </si>
  <si>
    <t>Ultra Padded Bodywarmer</t>
  </si>
  <si>
    <t>TECH Performance Sport Gloves</t>
  </si>
  <si>
    <t>D</t>
  </si>
  <si>
    <t>SIZE</t>
  </si>
  <si>
    <t>CBM</t>
  </si>
  <si>
    <t>R111F</t>
  </si>
  <si>
    <t>R111M</t>
  </si>
  <si>
    <t>R128F</t>
  </si>
  <si>
    <t>S ~ XL</t>
  </si>
  <si>
    <t>R132F</t>
  </si>
  <si>
    <t>Hi-Active Jacket</t>
  </si>
  <si>
    <t>Junior Waterproof Jacket and Trouser Set</t>
  </si>
  <si>
    <t>Seneca Hi-Activity Jacket</t>
  </si>
  <si>
    <t>Extreme Climate Stopper Fleece</t>
  </si>
  <si>
    <t>R114X</t>
  </si>
  <si>
    <t>2XS ~ M</t>
  </si>
  <si>
    <t>High-Viz Soft Shell Jacket</t>
  </si>
  <si>
    <t>R129X</t>
  </si>
  <si>
    <t>R145X</t>
  </si>
  <si>
    <t>Classic Heavy Knit Scarf</t>
  </si>
  <si>
    <t>R146X</t>
  </si>
  <si>
    <t>Team Scarf</t>
  </si>
  <si>
    <t>R147X</t>
  </si>
  <si>
    <t>R181M</t>
  </si>
  <si>
    <t>R181F</t>
  </si>
  <si>
    <t>S/M             L/XL</t>
  </si>
  <si>
    <t>S/M, L/XL, 2XL</t>
  </si>
  <si>
    <t>R114J</t>
  </si>
  <si>
    <t>R114Y</t>
  </si>
  <si>
    <t>L ~ XL</t>
  </si>
  <si>
    <t>Bangladesh</t>
  </si>
  <si>
    <t>PACK QTY</t>
  </si>
  <si>
    <t>CUBE</t>
  </si>
  <si>
    <t>Junior Low Profile Cotton Cap</t>
  </si>
  <si>
    <t>Low Profile Heavy Brushed Cotton Cap</t>
  </si>
  <si>
    <t>Junior Low Profile Heavy Brushed Cotton Cap</t>
  </si>
  <si>
    <t>Low Profile Heavy Brushed Cotton Cap With Sandwich Peak</t>
  </si>
  <si>
    <t>Junior Low Profile Heavy Brushed Cotton Cap with Sandwich Peak</t>
  </si>
  <si>
    <t>Pro-Style Heavy Brushed Cotton Cap</t>
  </si>
  <si>
    <t>Pro-Style Heavy Brushed Cotton Cap with Sandwich Peak</t>
  </si>
  <si>
    <t>Deluxe Washed Cotton Bucket Hat with Side Mesh Panels</t>
  </si>
  <si>
    <t>Sport Cap with Side Mesh</t>
  </si>
  <si>
    <t>Urban Trooper Fully Lined Cap</t>
  </si>
  <si>
    <t>Esco Army Knitted Hat</t>
  </si>
  <si>
    <t>Youth Esco Army Knitted Hat</t>
  </si>
  <si>
    <t>Esco Urban Knitted Hat</t>
  </si>
  <si>
    <t>National Cap</t>
  </si>
  <si>
    <t>Plush Cap</t>
  </si>
  <si>
    <t>Youth Plush Cap</t>
  </si>
  <si>
    <t>Plush Contrast Stitch Cap</t>
  </si>
  <si>
    <t>Arc Stretch Fit Cap</t>
  </si>
  <si>
    <t>Truckers Straw Look Cap</t>
  </si>
  <si>
    <t>Urban Trooper Corduroy Cap</t>
  </si>
  <si>
    <t>Urban Trooper Lightweight Cap</t>
  </si>
  <si>
    <t>Youth Urban Trooper Lightweight Cap</t>
  </si>
  <si>
    <t>Urban Trooper Washed Denim Cap</t>
  </si>
  <si>
    <t>Double Knit Cotton Beanie Hat</t>
  </si>
  <si>
    <t>S108F</t>
  </si>
  <si>
    <t>S108M</t>
  </si>
  <si>
    <t>S170F</t>
  </si>
  <si>
    <t>S170M</t>
  </si>
  <si>
    <t>S171F</t>
  </si>
  <si>
    <t>S171M</t>
  </si>
  <si>
    <t>S172F</t>
  </si>
  <si>
    <t>S172M</t>
  </si>
  <si>
    <t>S173F</t>
  </si>
  <si>
    <t>S173M</t>
  </si>
  <si>
    <t>S174F</t>
  </si>
  <si>
    <t>S174M</t>
  </si>
  <si>
    <t>S175M</t>
  </si>
  <si>
    <t>S175F</t>
  </si>
  <si>
    <t>S176M</t>
  </si>
  <si>
    <t>S176F</t>
  </si>
  <si>
    <t>S177M</t>
  </si>
  <si>
    <t>S177F</t>
  </si>
  <si>
    <t>S178X</t>
  </si>
  <si>
    <t>S185X</t>
  </si>
  <si>
    <t>L</t>
  </si>
  <si>
    <t>H</t>
  </si>
  <si>
    <t>W</t>
  </si>
  <si>
    <t>XL ~ 3XL</t>
  </si>
  <si>
    <t>x</t>
  </si>
  <si>
    <t>2XL</t>
  </si>
  <si>
    <t xml:space="preserve">XS ~ XL </t>
  </si>
  <si>
    <t>L ~ 2XL</t>
  </si>
  <si>
    <t>XS ~ M</t>
  </si>
  <si>
    <t>2XL ~ 3XL</t>
  </si>
  <si>
    <t xml:space="preserve">XS ~ M </t>
  </si>
  <si>
    <t>S ~ M</t>
  </si>
  <si>
    <t>L ~ 3XL</t>
  </si>
  <si>
    <t>XL ~ 2XL</t>
  </si>
  <si>
    <t>XS ~ L</t>
  </si>
  <si>
    <t xml:space="preserve">S ~ L </t>
  </si>
  <si>
    <t>XL</t>
  </si>
  <si>
    <t xml:space="preserve">XS ~L </t>
  </si>
  <si>
    <t>XL ~ 4XL</t>
  </si>
  <si>
    <t>M ~ XL</t>
  </si>
  <si>
    <t>XS ~ S</t>
  </si>
  <si>
    <t xml:space="preserve">S    </t>
  </si>
  <si>
    <t xml:space="preserve">S ~ M </t>
  </si>
  <si>
    <t xml:space="preserve">XS ~ L      </t>
  </si>
  <si>
    <t xml:space="preserve">XS ~ L    </t>
  </si>
  <si>
    <t xml:space="preserve">XS ~ L         </t>
  </si>
  <si>
    <t xml:space="preserve">S ~ L      </t>
  </si>
  <si>
    <t xml:space="preserve">XS ~ L </t>
  </si>
  <si>
    <t xml:space="preserve">XS   </t>
  </si>
  <si>
    <t xml:space="preserve">S ~ L  </t>
  </si>
  <si>
    <t xml:space="preserve">2XS ~ XS  </t>
  </si>
  <si>
    <t xml:space="preserve">S ~ M    </t>
  </si>
  <si>
    <t>S179M</t>
  </si>
  <si>
    <t>S179F</t>
  </si>
  <si>
    <t>S180X</t>
  </si>
  <si>
    <t>S182F</t>
  </si>
  <si>
    <t>S183X</t>
  </si>
  <si>
    <t>2XS ~ 2XL</t>
  </si>
  <si>
    <t>S184X</t>
  </si>
  <si>
    <t>S186X</t>
  </si>
  <si>
    <t>R200X</t>
  </si>
  <si>
    <t>R200J</t>
  </si>
  <si>
    <t>R204X</t>
  </si>
  <si>
    <t>R205X</t>
  </si>
  <si>
    <t>R206X</t>
  </si>
  <si>
    <t>R207X</t>
  </si>
  <si>
    <t>R207J</t>
  </si>
  <si>
    <t>R207Y</t>
  </si>
  <si>
    <t>R208X</t>
  </si>
  <si>
    <t>R195X</t>
  </si>
  <si>
    <t>Urban Cheltenham Jacket</t>
  </si>
  <si>
    <t>R147J</t>
  </si>
  <si>
    <t>R139X</t>
  </si>
  <si>
    <t>Peru Hat</t>
  </si>
  <si>
    <t>R148X</t>
  </si>
  <si>
    <t>Inca Hat</t>
  </si>
  <si>
    <t>R149X</t>
  </si>
  <si>
    <t>Cable Knit Pom Pom Beanie</t>
  </si>
  <si>
    <t>R151X</t>
  </si>
  <si>
    <t>R152X</t>
  </si>
  <si>
    <t>R001T</t>
  </si>
  <si>
    <t>R001X</t>
  </si>
  <si>
    <t>R008X</t>
  </si>
  <si>
    <t>R017X</t>
  </si>
  <si>
    <t>R018X</t>
  </si>
  <si>
    <t>R021J</t>
  </si>
  <si>
    <t>R021X</t>
  </si>
  <si>
    <t>R022X</t>
  </si>
  <si>
    <t>R023X</t>
  </si>
  <si>
    <t>R025X</t>
  </si>
  <si>
    <t>R033X</t>
  </si>
  <si>
    <t>R036X</t>
  </si>
  <si>
    <t>R037X</t>
  </si>
  <si>
    <t>R039X</t>
  </si>
  <si>
    <t>R040X</t>
  </si>
  <si>
    <t>R043X</t>
  </si>
  <si>
    <t>R044X</t>
  </si>
  <si>
    <t>R045X</t>
  </si>
  <si>
    <t>R052X</t>
  </si>
  <si>
    <t>R060X</t>
  </si>
  <si>
    <t>R061X</t>
  </si>
  <si>
    <t>R065X</t>
  </si>
  <si>
    <t>R066X</t>
  </si>
  <si>
    <t>R067X</t>
  </si>
  <si>
    <t>R068X</t>
  </si>
  <si>
    <t>R071X</t>
  </si>
  <si>
    <t>R072X</t>
  </si>
  <si>
    <t>R078X</t>
  </si>
  <si>
    <t>R085F</t>
  </si>
  <si>
    <t>R086X</t>
  </si>
  <si>
    <t>R088J</t>
  </si>
  <si>
    <t>R088X</t>
  </si>
  <si>
    <t>R092J</t>
  </si>
  <si>
    <t>R092X</t>
  </si>
  <si>
    <t>R094X</t>
  </si>
  <si>
    <t>R095J</t>
  </si>
  <si>
    <t>R095X</t>
  </si>
  <si>
    <t>R097X</t>
  </si>
  <si>
    <t>R098X</t>
  </si>
  <si>
    <t>R099X</t>
  </si>
  <si>
    <t>RC002X</t>
  </si>
  <si>
    <t>RC005X</t>
  </si>
  <si>
    <t>RC005J</t>
  </si>
  <si>
    <t>RC010X</t>
  </si>
  <si>
    <t>RC018J</t>
  </si>
  <si>
    <t>RC024X</t>
  </si>
  <si>
    <t>RC024J</t>
  </si>
  <si>
    <t>RC025X</t>
  </si>
  <si>
    <t>RC029X</t>
  </si>
  <si>
    <t>RC029J</t>
  </si>
  <si>
    <t>RC033X</t>
  </si>
  <si>
    <t>RC033J</t>
  </si>
  <si>
    <t>RC035X</t>
  </si>
  <si>
    <t>RC036X</t>
  </si>
  <si>
    <t>RC038X</t>
  </si>
  <si>
    <t>RC044X</t>
  </si>
  <si>
    <t>RC045X</t>
  </si>
  <si>
    <t>RC046X</t>
  </si>
  <si>
    <t>RC047X</t>
  </si>
  <si>
    <t>RC048X</t>
  </si>
  <si>
    <t>RC050X</t>
  </si>
  <si>
    <t>RC051X</t>
  </si>
  <si>
    <t>RC052X</t>
  </si>
  <si>
    <t>RC053X</t>
  </si>
  <si>
    <t>RC054X</t>
  </si>
  <si>
    <t>RC055X</t>
  </si>
  <si>
    <t>RC056X</t>
  </si>
  <si>
    <t>RC057X</t>
  </si>
  <si>
    <t>RC058X</t>
  </si>
  <si>
    <t>RC059X</t>
  </si>
  <si>
    <t>RC060X</t>
  </si>
  <si>
    <t>RC060Y</t>
  </si>
  <si>
    <t>RC061X</t>
  </si>
  <si>
    <t>RC062X</t>
  </si>
  <si>
    <t>RC063X</t>
  </si>
  <si>
    <t>RC063Y</t>
  </si>
  <si>
    <t>RC064X</t>
  </si>
  <si>
    <t>RC065X</t>
  </si>
  <si>
    <t>RC066X</t>
  </si>
  <si>
    <t>RC067X</t>
  </si>
  <si>
    <t>RC068X</t>
  </si>
  <si>
    <t>RC069X</t>
  </si>
  <si>
    <t>RC069J</t>
  </si>
  <si>
    <t>RC070X</t>
  </si>
  <si>
    <t>RC070Y</t>
  </si>
  <si>
    <t>RC071X</t>
  </si>
  <si>
    <t>RC072X</t>
  </si>
  <si>
    <t>RC073X</t>
  </si>
  <si>
    <t>RC074X</t>
  </si>
  <si>
    <t>RC141X</t>
  </si>
  <si>
    <t>RC142X</t>
  </si>
  <si>
    <t>RC140X</t>
  </si>
  <si>
    <t>R201X</t>
  </si>
  <si>
    <t>S182M</t>
  </si>
  <si>
    <t>Advertising Cap</t>
  </si>
  <si>
    <t>Cotton Cap</t>
  </si>
  <si>
    <t>Junior Cotton Cap</t>
  </si>
  <si>
    <t>Heavy Cotton Dill Pro-Style Cap</t>
  </si>
  <si>
    <t>Heavy Cotton Dill Pro-Style Cap with Sandwich Peak</t>
  </si>
  <si>
    <t>Woolly Ski Hat</t>
  </si>
  <si>
    <t>Junior Woolly Ski Hat</t>
  </si>
  <si>
    <t>High-Viz Cap</t>
  </si>
  <si>
    <t>Herringbone Cap with Sandwich Peak</t>
  </si>
  <si>
    <t>Reversible Fashion Fit Hat</t>
  </si>
  <si>
    <t>Herringbone Sun Visor with Sanwich Peak</t>
  </si>
  <si>
    <t>Heavy Brushed Cotton Cap with Scallop Peak &amp; Contast Trim</t>
  </si>
  <si>
    <t>Unwashed Fine Line Cotton Cap with Sandwich Peak</t>
  </si>
  <si>
    <t>Sport Foam-Mesh Cap with Sandwich Peak</t>
  </si>
  <si>
    <t>Washed Fine Line Cotton Cap with Sandwich Peak</t>
  </si>
  <si>
    <t>Faux Sheepskin Hat</t>
  </si>
  <si>
    <t>Classic Sherpa Hat</t>
  </si>
  <si>
    <t>Addi Mesh Cap with Under-Peak Mesh Pocket</t>
  </si>
  <si>
    <t>Truckers 3000 Mesh Cap</t>
  </si>
  <si>
    <t>Legionnaire Cap</t>
  </si>
  <si>
    <t>Junior Legionnaire Cap</t>
  </si>
  <si>
    <t>Printers Plush Cotton 5 Panel Cap</t>
  </si>
  <si>
    <t>TECH Performance Soft Shell Cap</t>
  </si>
  <si>
    <t>RC076X</t>
  </si>
  <si>
    <t>RC076J</t>
  </si>
  <si>
    <t>RC077X</t>
  </si>
  <si>
    <t>Gatsby Cap</t>
  </si>
  <si>
    <t>RC078X</t>
  </si>
  <si>
    <t>Fold Up Baseball Cap</t>
  </si>
  <si>
    <t>RC079X</t>
  </si>
  <si>
    <t>Urban Camo Cap</t>
  </si>
  <si>
    <t>Junior Fold Up Legionnaire Cap</t>
  </si>
  <si>
    <t>Fold Up Legionnaire Cap</t>
  </si>
  <si>
    <t>Super Padded Mesh Baseball Cap</t>
  </si>
  <si>
    <t>Mens Nero Jacket</t>
  </si>
  <si>
    <t>Womens Nero Jacket</t>
  </si>
  <si>
    <t>Womens Sprint Base Top</t>
  </si>
  <si>
    <t>Womens Sprint Pant</t>
  </si>
  <si>
    <t>Womens Race System Jacket</t>
  </si>
  <si>
    <t>Womens Airstream Jacket</t>
  </si>
  <si>
    <t>Womens Training Shirt</t>
  </si>
  <si>
    <t>Womens Team Spirit Polo</t>
  </si>
  <si>
    <t>Womens Dash Training Shirt</t>
  </si>
  <si>
    <t>Mens Sprint Base Top</t>
  </si>
  <si>
    <t>Mens Sprint Pant</t>
  </si>
  <si>
    <t>Mens Race System Jacket</t>
  </si>
  <si>
    <t>Mens Airstream Jacket</t>
  </si>
  <si>
    <t>Mens Training Shirt</t>
  </si>
  <si>
    <t>Mens Team Spirit Polo</t>
  </si>
  <si>
    <t>Mens Mens Dash Training Shirt</t>
  </si>
  <si>
    <t>Womens Sprint Shorts</t>
  </si>
  <si>
    <t>Mens Sprint Shorts</t>
  </si>
  <si>
    <t>Womens Team 3 Layer Soft Shell Jacket</t>
  </si>
  <si>
    <t>Mens Team 3 Layer Soft Shell Jacket</t>
  </si>
  <si>
    <t>Womens Micro-Lite Team Pant</t>
  </si>
  <si>
    <t>Mens Micro-Lite Team Pant</t>
  </si>
  <si>
    <t>Unisex Trial Training Top</t>
  </si>
  <si>
    <t>Unisex Micro Lite Team Jacket</t>
  </si>
  <si>
    <t>Unisex Micro-Lite Running Shorts</t>
  </si>
  <si>
    <t>Unisex Micro-Lite Team Short</t>
  </si>
  <si>
    <t>Unisex Crosslite Trail &amp; Track Jacket</t>
  </si>
  <si>
    <t>Unisex Athletic Vest</t>
  </si>
  <si>
    <t>R203J</t>
  </si>
  <si>
    <t>R203Y</t>
  </si>
  <si>
    <t>R203X</t>
  </si>
  <si>
    <t>M ~ L</t>
  </si>
  <si>
    <t>R138X</t>
  </si>
  <si>
    <t>Snood Scarf</t>
  </si>
  <si>
    <t>R153X</t>
  </si>
  <si>
    <t>Aspen Knitted Hat</t>
  </si>
  <si>
    <t>R154X</t>
  </si>
  <si>
    <t>R158X</t>
  </si>
  <si>
    <t>Polar Max Sherpa Hat</t>
  </si>
  <si>
    <t>R159X</t>
  </si>
  <si>
    <t>R162X</t>
  </si>
  <si>
    <t>R163X</t>
  </si>
  <si>
    <t>Traka Sharpa Hat</t>
  </si>
  <si>
    <t>R164X</t>
  </si>
  <si>
    <t>Jazz Hat</t>
  </si>
  <si>
    <t>R209F</t>
  </si>
  <si>
    <t>R215X</t>
  </si>
  <si>
    <t>XS ~ 4XL</t>
  </si>
  <si>
    <t>R221F</t>
  </si>
  <si>
    <t>R221M</t>
  </si>
  <si>
    <t>R073X</t>
  </si>
  <si>
    <t>R112X</t>
  </si>
  <si>
    <t>R214X</t>
  </si>
  <si>
    <t>R217X</t>
  </si>
  <si>
    <t>R218X</t>
  </si>
  <si>
    <t>R219X</t>
  </si>
  <si>
    <t>S187F</t>
  </si>
  <si>
    <t>S187M</t>
  </si>
  <si>
    <t>S188F</t>
  </si>
  <si>
    <t>S188M</t>
  </si>
  <si>
    <t>S250M</t>
  </si>
  <si>
    <t>XS/S, M/L, XL/2XL</t>
  </si>
  <si>
    <t>S250F</t>
  </si>
  <si>
    <t>S251M</t>
  </si>
  <si>
    <t>S251F</t>
  </si>
  <si>
    <t>S252X</t>
  </si>
  <si>
    <t>S253M</t>
  </si>
  <si>
    <t>S253F</t>
  </si>
  <si>
    <t>S254M</t>
  </si>
  <si>
    <t>S254F</t>
  </si>
  <si>
    <t>R225J</t>
  </si>
  <si>
    <t>R225X</t>
  </si>
  <si>
    <t>Junior Core Rain Suit</t>
  </si>
  <si>
    <t>R209M</t>
  </si>
  <si>
    <t>R132M</t>
  </si>
  <si>
    <t>R033Y</t>
  </si>
  <si>
    <t>R033J</t>
  </si>
  <si>
    <t>L~XL</t>
  </si>
  <si>
    <t>R036J</t>
  </si>
  <si>
    <t>R036Y</t>
  </si>
  <si>
    <t>R037Y</t>
  </si>
  <si>
    <t>R037J</t>
  </si>
  <si>
    <t>R150J</t>
  </si>
  <si>
    <t>R150Y</t>
  </si>
  <si>
    <t>R155Y</t>
  </si>
  <si>
    <t>R155J</t>
  </si>
  <si>
    <t>Junior Waterproof 2000 Pro-Coach Jacket</t>
  </si>
  <si>
    <t>Youth Waterproof 2000 Pro-Coach Jacket</t>
  </si>
  <si>
    <t>R156J</t>
  </si>
  <si>
    <t>R156Y</t>
  </si>
  <si>
    <t>Junior Waterproof 2000 Pro-Coach Trousers</t>
  </si>
  <si>
    <t>Youth Waterproof 2000 Pro-Coach Trousers</t>
  </si>
  <si>
    <t>R160Y</t>
  </si>
  <si>
    <t>R160J</t>
  </si>
  <si>
    <t>R121J</t>
  </si>
  <si>
    <t>R121Y</t>
  </si>
  <si>
    <t>Junior Classic Soft Shell Jacket</t>
  </si>
  <si>
    <t>Youth Classic Soft Shell Jacket</t>
  </si>
  <si>
    <t>R195J</t>
  </si>
  <si>
    <t>R195Y</t>
  </si>
  <si>
    <t>R121F</t>
  </si>
  <si>
    <t>R222X</t>
  </si>
  <si>
    <t>R223X</t>
  </si>
  <si>
    <t>R226J</t>
  </si>
  <si>
    <t>R226X</t>
  </si>
  <si>
    <t>R227J</t>
  </si>
  <si>
    <t>R229X</t>
  </si>
  <si>
    <t>R192F</t>
  </si>
  <si>
    <t>R192M</t>
  </si>
  <si>
    <t>R300X</t>
  </si>
  <si>
    <t>R301X</t>
  </si>
  <si>
    <t>R302X</t>
  </si>
  <si>
    <t>R305X</t>
  </si>
  <si>
    <t>R306X</t>
  </si>
  <si>
    <t>R350X</t>
  </si>
  <si>
    <t>R351X</t>
  </si>
  <si>
    <t>R352X</t>
  </si>
  <si>
    <t>R353X</t>
  </si>
  <si>
    <t>R354X</t>
  </si>
  <si>
    <t>R355X</t>
  </si>
  <si>
    <t>R356X</t>
  </si>
  <si>
    <t>S250J</t>
  </si>
  <si>
    <t>S253J</t>
  </si>
  <si>
    <t>S255M</t>
  </si>
  <si>
    <t>S256F</t>
  </si>
  <si>
    <t>S256M</t>
  </si>
  <si>
    <t>S261J</t>
  </si>
  <si>
    <t>S261F</t>
  </si>
  <si>
    <t>S262F</t>
  </si>
  <si>
    <t>S262M</t>
  </si>
  <si>
    <t>R121M</t>
  </si>
  <si>
    <t>R197X</t>
  </si>
  <si>
    <t>R199X</t>
  </si>
  <si>
    <t>Mens Ice Bird Padded Jacket</t>
  </si>
  <si>
    <t>R196X</t>
  </si>
  <si>
    <t>R198F</t>
  </si>
  <si>
    <t>New York Hard Shell Jacket</t>
  </si>
  <si>
    <t>R198M</t>
  </si>
  <si>
    <t>R227X</t>
  </si>
  <si>
    <t>R228J</t>
  </si>
  <si>
    <t>2XL ~ 4XL</t>
  </si>
  <si>
    <t>Work-Guard Sabre Pilot Jacket</t>
  </si>
  <si>
    <t>3XL ~ 4XL</t>
  </si>
  <si>
    <t>Work-Guard Sabre Long Coat</t>
  </si>
  <si>
    <t>Work-Guard Sabre Stretch Jacket</t>
  </si>
  <si>
    <t>R303X</t>
  </si>
  <si>
    <t>3XL ~ 5XL</t>
  </si>
  <si>
    <t>Work-Guard Vostex Long Coat</t>
  </si>
  <si>
    <t>Work-Guard Vostex Bodywarmer</t>
  </si>
  <si>
    <t>R307F</t>
  </si>
  <si>
    <t>R307M</t>
  </si>
  <si>
    <t>Mens Platinum Managers Jacket</t>
  </si>
  <si>
    <t>R308X</t>
  </si>
  <si>
    <t>Work-Guard Action Trousers</t>
  </si>
  <si>
    <t>R309X</t>
  </si>
  <si>
    <t>Work-Guard Action Shorts</t>
  </si>
  <si>
    <t>R310X</t>
  </si>
  <si>
    <t>Work-Guard Technical Trouser</t>
  </si>
  <si>
    <t>R311X</t>
  </si>
  <si>
    <t>Work-Guard Technical Shorts</t>
  </si>
  <si>
    <t>R315X</t>
  </si>
  <si>
    <t>RC133X</t>
  </si>
  <si>
    <t>Button Trim Scarf</t>
  </si>
  <si>
    <t>Team Reversible Beanie</t>
  </si>
  <si>
    <t>Spider Pom Pom Hat</t>
  </si>
  <si>
    <t>S255F</t>
  </si>
  <si>
    <t>Mens Bikewear Long Sleeve Performance Top</t>
  </si>
  <si>
    <t>S264X</t>
  </si>
  <si>
    <t>Ladies Platinum Managers Jacket</t>
  </si>
  <si>
    <t>Superior StormDri Trousers</t>
  </si>
  <si>
    <t>Superior StormDri Jacket</t>
  </si>
  <si>
    <t>3 in 1 Aspen Jacket</t>
  </si>
  <si>
    <t>R193F</t>
  </si>
  <si>
    <t>R193M</t>
  </si>
  <si>
    <t>Mens Ice Bird Padded Gilet</t>
  </si>
  <si>
    <t>S257X</t>
  </si>
  <si>
    <t>S258X</t>
  </si>
  <si>
    <t>S259X</t>
  </si>
  <si>
    <t>XL~2XL</t>
  </si>
  <si>
    <t>GROSS WEIGHT PER CTN (kg)</t>
  </si>
  <si>
    <t>CARTON SIZE (cm)</t>
  </si>
  <si>
    <t>XS</t>
  </si>
  <si>
    <t>S</t>
  </si>
  <si>
    <t>M</t>
  </si>
  <si>
    <t>L/XL</t>
  </si>
  <si>
    <t>S/M</t>
  </si>
  <si>
    <t>Reversible Microfleece Bob Hat</t>
  </si>
  <si>
    <t>R128M</t>
  </si>
  <si>
    <t>R220F</t>
  </si>
  <si>
    <t>Womens Fashion Fit Outdoor Fleece</t>
  </si>
  <si>
    <t>R357X</t>
  </si>
  <si>
    <t>R358X</t>
  </si>
  <si>
    <t>R359X</t>
  </si>
  <si>
    <t>R361X</t>
  </si>
  <si>
    <t>R362X</t>
  </si>
  <si>
    <t>R363X</t>
  </si>
  <si>
    <t>R364X</t>
  </si>
  <si>
    <t>R365X</t>
  </si>
  <si>
    <t>R366X</t>
  </si>
  <si>
    <t>R367X</t>
  </si>
  <si>
    <t>Glacier Pom Pom Hat</t>
  </si>
  <si>
    <t>Reindeer Snood Hat</t>
  </si>
  <si>
    <t>Whistler Snood Hood</t>
  </si>
  <si>
    <t>Palgrip Glove-Mitt</t>
  </si>
  <si>
    <t>RC080X</t>
  </si>
  <si>
    <t>Houston Cap 5 Panel Printers Cap</t>
  </si>
  <si>
    <t>RC081X</t>
  </si>
  <si>
    <t>RC082X</t>
  </si>
  <si>
    <t>RC083X</t>
  </si>
  <si>
    <t>RC085X</t>
  </si>
  <si>
    <t>RC086X</t>
  </si>
  <si>
    <t>Menphis Cap 6 Panel Low Profile</t>
  </si>
  <si>
    <t>Denver Cap Snap Back Duo Tone</t>
  </si>
  <si>
    <t>Bronx Cap Snap Back Uni Colour</t>
  </si>
  <si>
    <t>Kansas Cap Corflex Curve Peak</t>
  </si>
  <si>
    <t>Sport Cap</t>
  </si>
  <si>
    <t>O/S, XL</t>
  </si>
  <si>
    <t>AV.WEIGHT PER GARMENT (kg)</t>
  </si>
  <si>
    <t>Chunky Knit Set (Scarf, Hat)</t>
  </si>
  <si>
    <t>R194F</t>
  </si>
  <si>
    <t>R194M</t>
  </si>
  <si>
    <t>Mens Urban Snowbird Hooded Jacket</t>
  </si>
  <si>
    <t>R220M</t>
  </si>
  <si>
    <t>R224J</t>
  </si>
  <si>
    <t>Junior Hooded Soft Shell Jacket</t>
  </si>
  <si>
    <t>R224Y</t>
  </si>
  <si>
    <t>Youth Hooded Soft-Shell Jacket</t>
  </si>
  <si>
    <t>R230F</t>
  </si>
  <si>
    <t>R230M</t>
  </si>
  <si>
    <t>XS ~ 5XL</t>
  </si>
  <si>
    <t>RC084X</t>
  </si>
  <si>
    <t>Boston Printers Cap</t>
  </si>
  <si>
    <t>Work-Guard stretch Trousers (R32" &amp; L34)</t>
  </si>
  <si>
    <t>3XL</t>
  </si>
  <si>
    <t>4XL</t>
  </si>
  <si>
    <t>Womanes Padded Bikewear Shorts</t>
  </si>
  <si>
    <t>Mens Padded Bikewear Shorts</t>
  </si>
  <si>
    <t>Womens Bikewear Short Sleeve Performance Top</t>
  </si>
  <si>
    <t>Mens Bikewear Short Sleeve Performance Top</t>
  </si>
  <si>
    <t>Junior Bodyfit Base Layer Shorts</t>
  </si>
  <si>
    <t>Womens Bodyfit Base Layer Shorts</t>
  </si>
  <si>
    <t>Mens Bodyfit Base Layer Shorts</t>
  </si>
  <si>
    <t>Womens Bodyfit Base Layer Leggings</t>
  </si>
  <si>
    <t>Mens Bodyfit Base Layer Leggings</t>
  </si>
  <si>
    <t>Unisex Compression Bodyfit Long Sleeve Base Layer Top</t>
  </si>
  <si>
    <t>Junior Quick Dry T-Shirt</t>
  </si>
  <si>
    <t>Womens Quick Dry Performance Short Sleeve T-Shirt</t>
  </si>
  <si>
    <t>Mens Quick Dry Performance Short Sleeve T-Shirt</t>
  </si>
  <si>
    <t>Womens Quick Dry Performance Long Sleeve T-Shirt</t>
  </si>
  <si>
    <t>Mens Quick Dry Performance Long Sleeve T-Shirt</t>
  </si>
  <si>
    <t>Womens Bikewear Long Sleeve Performance Top</t>
  </si>
  <si>
    <t>Womens Freedom Soft Shell Jacket</t>
  </si>
  <si>
    <t>Mens Freedom Soft Shell Jacket</t>
  </si>
  <si>
    <t>Unisex Bikewear Short Glove</t>
  </si>
  <si>
    <t>Unisex Bikewear Long Glove</t>
  </si>
  <si>
    <t>Unisex Bikewear Crosslite Gilet</t>
  </si>
  <si>
    <t>Womens Skort</t>
  </si>
  <si>
    <t>Junior Skort</t>
  </si>
  <si>
    <t>Womens Airflow Soft Shell Gilet</t>
  </si>
  <si>
    <t>Mens Airflow Soft Shell Gilet</t>
  </si>
  <si>
    <t>Unisex Bikewear Off Road Shorts</t>
  </si>
  <si>
    <r>
      <t>Heavyweight Thinsulate</t>
    </r>
    <r>
      <rPr>
        <sz val="12"/>
        <rFont val="Calibri"/>
        <family val="2"/>
      </rPr>
      <t xml:space="preserve">™ </t>
    </r>
    <r>
      <rPr>
        <sz val="12"/>
        <rFont val="Comic Sans MS"/>
        <family val="4"/>
      </rPr>
      <t>Hat</t>
    </r>
  </si>
  <si>
    <r>
      <t>Junior Heavyweight Thinsulate</t>
    </r>
    <r>
      <rPr>
        <sz val="12"/>
        <rFont val="Calibri"/>
        <family val="2"/>
      </rPr>
      <t xml:space="preserve">™ </t>
    </r>
    <r>
      <rPr>
        <sz val="12"/>
        <rFont val="Comic Sans MS"/>
        <family val="4"/>
      </rPr>
      <t>Hat with Reflective Woven Band</t>
    </r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</si>
  <si>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Cap</t>
    </r>
  </si>
  <si>
    <t>PolarTherm™ Accessory Set (Scarf, Gloves, Hat)</t>
  </si>
  <si>
    <t>Soft Feel Acrylic Hat</t>
  </si>
  <si>
    <t>PolarTherm™ Scarf with Zip Pocket</t>
  </si>
  <si>
    <r>
      <t>Lightweight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Hat</t>
    </r>
  </si>
  <si>
    <t>PolarTherm™ Headband</t>
  </si>
  <si>
    <t>PolarTherm™ Ski Bob Hat</t>
  </si>
  <si>
    <t xml:space="preserve">PolarTherm™ Tassel Scarf  </t>
  </si>
  <si>
    <t>PolarTherm™ Gloves</t>
  </si>
  <si>
    <r>
      <t>Classic Fully Lined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Gloves</t>
    </r>
  </si>
  <si>
    <t>Fair Isle Knitted Hat</t>
  </si>
  <si>
    <t>Fair Isle Head Warmer</t>
  </si>
  <si>
    <t>Colorado Fully Lined Hat</t>
  </si>
  <si>
    <t>Whistler Hat</t>
  </si>
  <si>
    <t>Knitted Flute Pom Pom Hat</t>
  </si>
  <si>
    <t>Fair Isle Double Layer Jacquard Scarf</t>
  </si>
  <si>
    <t>Chunky Knit Striped Scarf</t>
  </si>
  <si>
    <t>Bandit Face/Chest/Neck Warmer</t>
  </si>
  <si>
    <t>Delux Fair Isle Hat</t>
  </si>
  <si>
    <r>
      <t>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Sherpa Hat</t>
    </r>
  </si>
  <si>
    <t>Softshell Thermal Gloves</t>
  </si>
  <si>
    <r>
      <t>Pattern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Glove</t>
    </r>
  </si>
  <si>
    <t>Snow Leopard Set (Scarf, Gloves)</t>
  </si>
  <si>
    <t>Arran Heavy Knit Scarf</t>
  </si>
  <si>
    <t>Printer Embroiderers' Cap</t>
  </si>
  <si>
    <t>Vintage Flying Combat Jacket</t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</si>
  <si>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Lined Top</t>
    </r>
  </si>
  <si>
    <t>Safety Jacket</t>
  </si>
  <si>
    <t>Junior Safety High-Viz Vest</t>
  </si>
  <si>
    <t>Safety High-Viz Vest</t>
  </si>
  <si>
    <t>High-Viz Trouser</t>
  </si>
  <si>
    <r>
      <t>Junior 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Top</t>
    </r>
  </si>
  <si>
    <r>
      <t>Youth 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Top</t>
    </r>
  </si>
  <si>
    <t>Polartherm™ Top</t>
  </si>
  <si>
    <t>Junior Polartherm™ Jacket</t>
  </si>
  <si>
    <t>Youth Polartherm™ Jacket</t>
  </si>
  <si>
    <t>Polartherm™ Jacket</t>
  </si>
  <si>
    <t>Polartherm™ Bodywarmer</t>
  </si>
  <si>
    <t>Junior Polartherm™ Bodywarmer</t>
  </si>
  <si>
    <t>Youth Polartherm™ Bodywarmer</t>
  </si>
  <si>
    <t>Polartherm™ Blanket</t>
  </si>
  <si>
    <t>Reversible Polartherm™ Bodywarmer</t>
  </si>
  <si>
    <t>Ripstop Gilet</t>
  </si>
  <si>
    <t>Multi-Function Jacket</t>
  </si>
  <si>
    <t>Zip Sleeve Heavy Duty Jacket</t>
  </si>
  <si>
    <t>Ultimate Storm Cyclone Jacket</t>
  </si>
  <si>
    <t>Womens Micro Fleece Jacket</t>
  </si>
  <si>
    <t>Waterproof Jacket &amp; Trouser Set</t>
  </si>
  <si>
    <t>Max Performance Trek/Training Trousers</t>
  </si>
  <si>
    <t>Womens Urban Fell Lightweight Technical Jacket</t>
  </si>
  <si>
    <t>Womens Horizon High Grade MicroFleece Jacket</t>
  </si>
  <si>
    <t>Horizon High Grade MicroFleece Jacket</t>
  </si>
  <si>
    <t>Hooded Soft Shell Jacket</t>
  </si>
  <si>
    <t>Activity Soft Shell Jacket</t>
  </si>
  <si>
    <t>Womens Classic Soft Shell Jacket</t>
  </si>
  <si>
    <t>Womens Soft Shell Jacket</t>
  </si>
  <si>
    <t>Ripstop Soft Shell Workwear Jacket</t>
  </si>
  <si>
    <t>Horizon Hi-Active Jacket</t>
  </si>
  <si>
    <t>Womens Base Layer Soft Shell Jacket</t>
  </si>
  <si>
    <t>Zorax Z-Tech Soft Shell Jacket</t>
  </si>
  <si>
    <t>Womens Osaka Combed Pile Soft Shell Jacket</t>
  </si>
  <si>
    <t>Womens TECH Performance Soft Shell Trousers</t>
  </si>
  <si>
    <t>Opus Lite Soft Shell Top</t>
  </si>
  <si>
    <t>Signature Soft Shell Jacket</t>
  </si>
  <si>
    <t>Ultra Lite Soft Shell Jacket</t>
  </si>
  <si>
    <t>Junior Rugged Stuff Long Coat</t>
  </si>
  <si>
    <t>Youth Rugged Stuff Long Coat</t>
  </si>
  <si>
    <t>Mercato Jacket</t>
  </si>
  <si>
    <t>Junior Reversible StormDri 4000 Jacket</t>
  </si>
  <si>
    <t>Youth Reversible StormDri 4000 Jacket</t>
  </si>
  <si>
    <t>Reversible StormDri 4000 Jacket</t>
  </si>
  <si>
    <t>Womens Holkham Down Feel Jacket</t>
  </si>
  <si>
    <t>Womens Ice Bird Padded Jacket</t>
  </si>
  <si>
    <t>Womens Urban Snowbird Hooded Jacket</t>
  </si>
  <si>
    <t>Mens Urban Fell Lightweight Technical Jacket</t>
  </si>
  <si>
    <t>Mens Classic Soft Shell Jacket</t>
  </si>
  <si>
    <t>Mens Base Layer Soft Shell Jacket</t>
  </si>
  <si>
    <t>Mens Osaka Combed Pile Soft Shell Jacket</t>
  </si>
  <si>
    <t>Mens Tech Performance Soft Shell Trousers</t>
  </si>
  <si>
    <t>Mens Holkham Down Feel Jacket</t>
  </si>
  <si>
    <t>Junior Urban Cheltenham Jacket</t>
  </si>
  <si>
    <t>Youth Urban Cheltenham Jacket</t>
  </si>
  <si>
    <t>Cheltenham Gold Jacket</t>
  </si>
  <si>
    <t>Womens Huggy Jacket</t>
  </si>
  <si>
    <t>Mens Huggy Jacket</t>
  </si>
  <si>
    <t>Safety High Viz Vest</t>
  </si>
  <si>
    <t>Microfleece Lined Jacket</t>
  </si>
  <si>
    <t>Junior Microfleece Lined Jacket</t>
  </si>
  <si>
    <t>Youth Microfleece Lined Jacket</t>
  </si>
  <si>
    <t>Windcheater</t>
  </si>
  <si>
    <t>Lightweight Jacket</t>
  </si>
  <si>
    <t>Midweight Jacket</t>
  </si>
  <si>
    <t>Junior Winter Parka</t>
  </si>
  <si>
    <t>Youth Winter Parka</t>
  </si>
  <si>
    <t>Winter Parka</t>
  </si>
  <si>
    <t>Womens Soft-Shell Jacket</t>
  </si>
  <si>
    <t>Motorway Safety Jacket</t>
  </si>
  <si>
    <t>Motorist Safety Vest</t>
  </si>
  <si>
    <t>Junior High-Viz Tabard</t>
  </si>
  <si>
    <t>Work-Guard Brink Stretch Jacket</t>
  </si>
  <si>
    <t>Mens Soft-Shell Jacket</t>
  </si>
  <si>
    <t>3-in-1 Jacket with Quilted Bodywarmer</t>
  </si>
  <si>
    <t>High Viz Winter Blouson</t>
  </si>
  <si>
    <t>High Viz Coat</t>
  </si>
  <si>
    <r>
      <t>Polartherm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Quilted Winter Fleece</t>
    </r>
  </si>
  <si>
    <t>Fashion Fit Outdoor Fleece</t>
  </si>
  <si>
    <t>Womens Channel Jacket</t>
  </si>
  <si>
    <t>Mens Channel Jacket</t>
  </si>
  <si>
    <t>Nova Lux Padded Jacket</t>
  </si>
  <si>
    <t>Nova Lux Padded Gilet</t>
  </si>
  <si>
    <t>Rain Suit</t>
  </si>
  <si>
    <t>Junior Rain Trousers</t>
  </si>
  <si>
    <t>Rain Trousers</t>
  </si>
  <si>
    <t>Junior Rain Jacket</t>
  </si>
  <si>
    <t>Rain Jacket</t>
  </si>
  <si>
    <t>Junior Art Smock</t>
  </si>
  <si>
    <t>Managers Jacket</t>
  </si>
  <si>
    <t>Womens Lite Hooded Soft Shell Jacket</t>
  </si>
  <si>
    <t>Mens Lite Hooded Soft Shell Jacket</t>
  </si>
  <si>
    <t>R400F</t>
  </si>
  <si>
    <t>Womens 3 in 1 Soft Shell Journey Jacket</t>
  </si>
  <si>
    <t>R400M</t>
  </si>
  <si>
    <t>Mens 3 in 1 Soft Shell Journey Jacket</t>
  </si>
  <si>
    <t>R062X</t>
  </si>
  <si>
    <t>Result Urban Storm Dri 2000 Long Parka</t>
  </si>
  <si>
    <t>R189X</t>
  </si>
  <si>
    <t>Urban Hdi Quest HydraDri 3000 Jacket in stow bag</t>
  </si>
  <si>
    <t>R231F</t>
  </si>
  <si>
    <t>R231M</t>
  </si>
  <si>
    <t>R232F</t>
  </si>
  <si>
    <t>Womens Printable Soft Shell Jacket</t>
  </si>
  <si>
    <t>Mens Printable Soft Shell Jacket</t>
  </si>
  <si>
    <t>Womens Printable Soft Shell Bodywarmer</t>
  </si>
  <si>
    <t>Mens Printable Soft Shell Bodywarmer</t>
  </si>
  <si>
    <t>R232M</t>
  </si>
  <si>
    <t>R316X</t>
  </si>
  <si>
    <t>Work-Guard Lite Jacket</t>
  </si>
  <si>
    <t>R317X</t>
  </si>
  <si>
    <t>R318X</t>
  </si>
  <si>
    <t>R319X</t>
  </si>
  <si>
    <t>R321X</t>
  </si>
  <si>
    <t>R322X</t>
  </si>
  <si>
    <t>R323X</t>
  </si>
  <si>
    <t>Work-Guard Lite Gilet</t>
  </si>
  <si>
    <t>Work-Guard Lite Trousers</t>
  </si>
  <si>
    <t>Work-Guard Lite Shorts</t>
  </si>
  <si>
    <t>Work-Guard Lite Coverall</t>
  </si>
  <si>
    <t>Work-Guard Kneepads</t>
  </si>
  <si>
    <t>50p</t>
  </si>
  <si>
    <t>Work-Guard Lite X-Over Holster Trouser</t>
  </si>
  <si>
    <t>R216X</t>
  </si>
  <si>
    <t>Result High Viz Waterproof Suit</t>
  </si>
  <si>
    <t>R368X</t>
  </si>
  <si>
    <t>Result National Beanie</t>
  </si>
  <si>
    <t>R369X</t>
  </si>
  <si>
    <t>Hdi Quest Knitted Hat</t>
  </si>
  <si>
    <t>R370X</t>
  </si>
  <si>
    <t>Marine Knitted Hat</t>
  </si>
  <si>
    <t>R371X</t>
  </si>
  <si>
    <t>Nordic Knitted Hat</t>
  </si>
  <si>
    <t>R372X</t>
  </si>
  <si>
    <t>Shades of Grey Hat</t>
  </si>
  <si>
    <t>R373X</t>
  </si>
  <si>
    <t>Shades of Grey Scarf</t>
  </si>
  <si>
    <t>R374X</t>
  </si>
  <si>
    <t>Reversible Fleece Skull Hat</t>
  </si>
  <si>
    <t>R202X</t>
  </si>
  <si>
    <t>R324X</t>
  </si>
  <si>
    <t>R333X</t>
  </si>
  <si>
    <t>R334F</t>
  </si>
  <si>
    <t>R340X</t>
  </si>
  <si>
    <t>R341X</t>
  </si>
  <si>
    <t>R343X</t>
  </si>
  <si>
    <t>R344X</t>
  </si>
  <si>
    <t>R345X</t>
  </si>
  <si>
    <t>R346X</t>
  </si>
  <si>
    <t>S260X</t>
  </si>
  <si>
    <t>S263X</t>
  </si>
  <si>
    <t>S265X</t>
  </si>
  <si>
    <t>S267X</t>
  </si>
  <si>
    <t>S271M</t>
  </si>
  <si>
    <t>S271F</t>
  </si>
  <si>
    <t>S272F</t>
  </si>
  <si>
    <t>S273F</t>
  </si>
  <si>
    <t>S274F</t>
  </si>
  <si>
    <t>S275F</t>
  </si>
  <si>
    <t>S278M</t>
  </si>
  <si>
    <t>S279M</t>
  </si>
  <si>
    <t>Core Zip Safety Tabard</t>
  </si>
  <si>
    <t>S/M, L/XL, 2XL/3XL</t>
  </si>
  <si>
    <t>tba</t>
  </si>
  <si>
    <t>Womens Safety Tabard</t>
  </si>
  <si>
    <t>Result Safety Padded Softshell Blouson</t>
  </si>
  <si>
    <t>X-Over Heavy Trouser</t>
  </si>
  <si>
    <t>Defence Safety Boot</t>
  </si>
  <si>
    <t>Stealth Safety Boot</t>
  </si>
  <si>
    <t>Reflect Safety Boot</t>
  </si>
  <si>
    <t>Blizzard Safety Boot</t>
  </si>
  <si>
    <t>Strider Safety Boot</t>
  </si>
  <si>
    <t>Managers Brogue</t>
  </si>
  <si>
    <t>Carrick Safety Boot</t>
  </si>
  <si>
    <t>Lightweight Safety Trainer</t>
  </si>
  <si>
    <t>Reflec-Tex Hi-Vis Jacket</t>
  </si>
  <si>
    <t>Bikewear Winter Hat</t>
  </si>
  <si>
    <t>Bikewear Long Bib</t>
  </si>
  <si>
    <t>Elite Running Gloves</t>
  </si>
  <si>
    <t>S270F</t>
  </si>
  <si>
    <t>Fitness Womens Tech Panel Marl T-Shirt</t>
  </si>
  <si>
    <t>Fitness Womens Shiny Marl T-Shirt</t>
  </si>
  <si>
    <t>Fitness Mens Shiny Marl T-Shirt</t>
  </si>
  <si>
    <t>Womens Stringer Back Marl Top</t>
  </si>
  <si>
    <t>Fitness Womens Capri Pant</t>
  </si>
  <si>
    <t>Fitness Womens Crop Top</t>
  </si>
  <si>
    <t>Womens Fitness Trouser</t>
  </si>
  <si>
    <t>Basketball Mens Quick Dry Top</t>
  </si>
  <si>
    <t>Basketball Mens Quick Dry Shorts</t>
  </si>
  <si>
    <t>R115M</t>
  </si>
  <si>
    <t>DUTY</t>
  </si>
  <si>
    <t>Duty</t>
  </si>
  <si>
    <t>AVERAGE CLEARANCE COST</t>
  </si>
  <si>
    <t>TBA</t>
  </si>
  <si>
    <t>R342M</t>
  </si>
  <si>
    <t>R342F</t>
  </si>
  <si>
    <t>4 ~ 8       (37 ~ 42)</t>
  </si>
  <si>
    <t>7 ~ 12        (41 ~ 47)</t>
  </si>
  <si>
    <t>XL ~ 5XL</t>
  </si>
  <si>
    <t>R348X</t>
  </si>
  <si>
    <t>R349F</t>
  </si>
  <si>
    <t>Womens Safety Trainer</t>
  </si>
  <si>
    <t>3 ~ 8       (36 ~ 42)</t>
  </si>
  <si>
    <t>XL/3XL</t>
  </si>
  <si>
    <t>9 ~ 13           (43 ~ 48)</t>
  </si>
  <si>
    <t>6  ~ 8         (40 ~ 42)</t>
  </si>
  <si>
    <t>9 ~ 12                   (43 ~ 47)</t>
  </si>
  <si>
    <t xml:space="preserve"> 6 ~ 8      (40 ~ 42)</t>
  </si>
  <si>
    <t>7 ~ 8      (41 ~ 42)</t>
  </si>
  <si>
    <t>RC031X</t>
  </si>
  <si>
    <t>RC032J</t>
  </si>
  <si>
    <t>Core Junior Ocean Trapper Hat</t>
  </si>
  <si>
    <t>RC032X</t>
  </si>
  <si>
    <t>Core Ocean Trapper Hat</t>
  </si>
  <si>
    <t>RC376X</t>
  </si>
  <si>
    <t>Result Braided Lined Knit Hat</t>
  </si>
  <si>
    <t>R377X</t>
  </si>
  <si>
    <t>Result Braided Snood</t>
  </si>
  <si>
    <t>RC378X</t>
  </si>
  <si>
    <t>Result Double Layer Hat</t>
  </si>
  <si>
    <t>R002X</t>
  </si>
  <si>
    <t>RC084J</t>
  </si>
  <si>
    <t>Core Junior Boston Printers Cap</t>
  </si>
  <si>
    <t>Core Softex Beanie</t>
  </si>
  <si>
    <t>2XS</t>
  </si>
  <si>
    <t>R233J</t>
  </si>
  <si>
    <t>Core Junior Padded Jacket</t>
  </si>
  <si>
    <t>R233Y</t>
  </si>
  <si>
    <t>Core Youth Padded Jacket</t>
  </si>
  <si>
    <t>R234J</t>
  </si>
  <si>
    <t>Junior Padded Bodywarmer</t>
  </si>
  <si>
    <t>R234Y</t>
  </si>
  <si>
    <t>Youth Padded Bodywarmer</t>
  </si>
  <si>
    <t>R312X</t>
  </si>
  <si>
    <t>Work-Guard Polo Shirt</t>
  </si>
  <si>
    <t>R326X</t>
  </si>
  <si>
    <t>Denim Textured Rugged Jacket</t>
  </si>
  <si>
    <t>R327X</t>
  </si>
  <si>
    <t>Safe-Guard Safety Cargo Trouser</t>
  </si>
  <si>
    <t>R328X</t>
  </si>
  <si>
    <t>Safe-Guard Safety Cargo Shorts</t>
  </si>
  <si>
    <t>R330X</t>
  </si>
  <si>
    <t>Work-Guard Heavy Duty Microfleece</t>
  </si>
  <si>
    <t>R331X</t>
  </si>
  <si>
    <t>Safe-Guard Dynamic Softshell Coat</t>
  </si>
  <si>
    <t>R335X</t>
  </si>
  <si>
    <t>X-Over Gilet</t>
  </si>
  <si>
    <t>R337X</t>
  </si>
  <si>
    <t>Spark Safety Trainer</t>
  </si>
  <si>
    <t>6 ~ 12</t>
  </si>
  <si>
    <t>R339X</t>
  </si>
  <si>
    <t>Work-Guard Blackwatch Safety Boot</t>
  </si>
  <si>
    <t>R347X</t>
  </si>
  <si>
    <t>Work-Guard Shield Lightweight Safety Trainer</t>
  </si>
  <si>
    <t>6 ~ 12        (40 ~ 47)</t>
  </si>
  <si>
    <t>Braided Snood</t>
  </si>
  <si>
    <t>R401X</t>
  </si>
  <si>
    <t>Urban Blizzard Jacket</t>
  </si>
  <si>
    <t>R403X</t>
  </si>
  <si>
    <t>Urban Stealth Hooded Jacket</t>
  </si>
  <si>
    <t>R404X</t>
  </si>
  <si>
    <t>Urban Camo Gilet</t>
  </si>
  <si>
    <t>R405M</t>
  </si>
  <si>
    <t>Urban Phantom MA1 Softshell</t>
  </si>
  <si>
    <t>R405F</t>
  </si>
  <si>
    <t>S268F</t>
  </si>
  <si>
    <t>Fitness Zero Gravity Jacket</t>
  </si>
  <si>
    <t>S268M</t>
  </si>
  <si>
    <t>S280F</t>
  </si>
  <si>
    <t>Impact Softex T-Shirt</t>
  </si>
  <si>
    <t>S281F</t>
  </si>
  <si>
    <t>Impact Softex Fitness Top</t>
  </si>
  <si>
    <t>S282F</t>
  </si>
  <si>
    <t>Impact Softex Crop Top</t>
  </si>
  <si>
    <t>S283F</t>
  </si>
  <si>
    <t>Impact Softex Shorts</t>
  </si>
  <si>
    <t>S284F</t>
  </si>
  <si>
    <t>Impact Softex Capri Pants</t>
  </si>
  <si>
    <t>S285F</t>
  </si>
  <si>
    <t>Impact Softex Tank Top</t>
  </si>
  <si>
    <t>S290X</t>
  </si>
  <si>
    <t>Compression Calf Sleeve</t>
  </si>
  <si>
    <t>S291X</t>
  </si>
  <si>
    <t>Compression Arm Sleeve</t>
  </si>
  <si>
    <t>S292X</t>
  </si>
  <si>
    <t>Compression Quad Sleeve</t>
  </si>
  <si>
    <t>XS-L</t>
  </si>
  <si>
    <t>XL-4XL</t>
  </si>
  <si>
    <t>2XS-M</t>
  </si>
  <si>
    <t>L-2XL</t>
  </si>
  <si>
    <t>2XS ~ S</t>
  </si>
  <si>
    <t>Womens Ice Bird Padded Gilet</t>
  </si>
  <si>
    <t>XL-5XL</t>
  </si>
  <si>
    <t>S-L</t>
  </si>
  <si>
    <t>R235X</t>
  </si>
  <si>
    <t>Camo Tx Performance Hooded Soft shell Jacket</t>
  </si>
  <si>
    <t>R236X</t>
  </si>
  <si>
    <t xml:space="preserve">3 in 1 Transit Jacket </t>
  </si>
  <si>
    <t>3XL~4XL</t>
  </si>
  <si>
    <t>R329X</t>
  </si>
  <si>
    <t>Safe-Guard Safety Microfleece</t>
  </si>
  <si>
    <t>S/M, L/XL, 2X/3X</t>
  </si>
  <si>
    <t>Core Compact Shopper</t>
  </si>
  <si>
    <t>RC087X</t>
  </si>
  <si>
    <t>Core Bronx Flat Glitter Peak Snapback Cap</t>
  </si>
  <si>
    <t>RC088X</t>
  </si>
  <si>
    <t>Spiro Core Impact Sport Cap</t>
  </si>
  <si>
    <t>RC091X</t>
  </si>
  <si>
    <t>Core Memphis Brushed Cotton Low Profile Sandwich Peak Cap</t>
  </si>
  <si>
    <t>R233M</t>
  </si>
  <si>
    <t>Core Soft Padded Jacket</t>
  </si>
  <si>
    <t>R314X</t>
  </si>
  <si>
    <t>Work-Guard Elevator Jacket</t>
  </si>
  <si>
    <t>R325M</t>
  </si>
  <si>
    <t>R325F</t>
  </si>
  <si>
    <t>Mens Safe-Guard Soft Padded Safety Jacket</t>
  </si>
  <si>
    <t>Ladies Safe-Guard Soft Padded Safety Jacket</t>
  </si>
  <si>
    <t>R332X</t>
  </si>
  <si>
    <t>Safe-Guard Reversible Soft Padded Safety Gilet</t>
  </si>
  <si>
    <t>R402X</t>
  </si>
  <si>
    <t>Urban Biker Jacket</t>
  </si>
  <si>
    <t>R406X</t>
  </si>
  <si>
    <t>Denim Softshell</t>
  </si>
  <si>
    <t>S269F</t>
  </si>
  <si>
    <t>2XS ~ 3XL</t>
  </si>
  <si>
    <t>S287X</t>
  </si>
  <si>
    <t>Aircool Tee</t>
  </si>
  <si>
    <t>R116X</t>
  </si>
  <si>
    <t>Result Core Micro Fleece Gilet</t>
  </si>
  <si>
    <t xml:space="preserve">4XL ~ 5XL </t>
  </si>
  <si>
    <t>2XS ~ XS</t>
  </si>
  <si>
    <t>R450X</t>
  </si>
  <si>
    <t>R451X</t>
  </si>
  <si>
    <t>R093X</t>
  </si>
  <si>
    <t>Result Zip Pull</t>
  </si>
  <si>
    <t>R237X</t>
  </si>
  <si>
    <t>R238X</t>
  </si>
  <si>
    <t>S/G Printable Safety Softshell Jacket</t>
  </si>
  <si>
    <t>S/G Printable Safety Softshell Gilet</t>
  </si>
  <si>
    <t>S288X</t>
  </si>
  <si>
    <t>S294X</t>
  </si>
  <si>
    <t>S295X</t>
  </si>
  <si>
    <t>S293X</t>
  </si>
  <si>
    <t>Spiro 3-pack Mixed Sports Sneaker Socks</t>
  </si>
  <si>
    <t>Junior Core Micro Fleece Jacket</t>
  </si>
  <si>
    <t>Youth Core Micro Fleece Jacket</t>
  </si>
  <si>
    <t>Core Micro Fleece Jacket</t>
  </si>
  <si>
    <t>R407X</t>
  </si>
  <si>
    <t>R408X</t>
  </si>
  <si>
    <t>R409X</t>
  </si>
  <si>
    <t>R308F</t>
  </si>
  <si>
    <t>Womens Action Trousers</t>
  </si>
  <si>
    <t>R455M</t>
  </si>
  <si>
    <t>R455F</t>
  </si>
  <si>
    <t>Mens Treble Stitch Softshell</t>
  </si>
  <si>
    <t>Womens Treble Stitch Softshell</t>
  </si>
  <si>
    <t>R456X</t>
  </si>
  <si>
    <t>All Black Safety Trainer</t>
  </si>
  <si>
    <t>3 ~ 12</t>
  </si>
  <si>
    <t>R457X</t>
  </si>
  <si>
    <t>Hardy Safety Trainer</t>
  </si>
  <si>
    <t>R458X</t>
  </si>
  <si>
    <t>Hicks Safety Trainer</t>
  </si>
  <si>
    <t>7 ~ 12</t>
  </si>
  <si>
    <t>S245M</t>
  </si>
  <si>
    <t>Mens Microfleece Hoodi</t>
  </si>
  <si>
    <t>S245F</t>
  </si>
  <si>
    <t>Womens Microfleece Hoodi</t>
  </si>
  <si>
    <t>S276M</t>
  </si>
  <si>
    <t>S277M</t>
  </si>
  <si>
    <t>Mens Hooded Tee-Jacket</t>
  </si>
  <si>
    <t>S277F</t>
  </si>
  <si>
    <t>Womens Hooded Tee-Jacket</t>
  </si>
  <si>
    <t>S287J</t>
  </si>
  <si>
    <t>Junior Performance Aircool Tee</t>
  </si>
  <si>
    <t>L/XL, 2XL</t>
  </si>
  <si>
    <t>R190X</t>
  </si>
  <si>
    <t>Dax Down Feel Gilet</t>
  </si>
  <si>
    <t>Urban Ultrasonic Rib Coat</t>
  </si>
  <si>
    <t>Micro Fleece Top</t>
  </si>
  <si>
    <t>Result Black Compass Padded Softshell Gilet</t>
  </si>
  <si>
    <t>Result Black Compass Padded Softshell Jacket</t>
  </si>
  <si>
    <t>Fitness Seamless Compression Sports Bra Top</t>
  </si>
  <si>
    <t>Spiro Performance Aircool Polo Shirt</t>
  </si>
  <si>
    <t>Technical Compression Coolmax ® Sports Socks</t>
  </si>
  <si>
    <t>3-pack Mixed Stripe Coolmax® Sneaker Socks</t>
  </si>
  <si>
    <t>Ultrasonic Hooded Coat</t>
  </si>
  <si>
    <t>Ultrasonic Rib MA1 Jacket</t>
  </si>
  <si>
    <t>Mens SlimFit Jogger</t>
  </si>
  <si>
    <t>Core Bodywarmer</t>
  </si>
  <si>
    <t>RC028X</t>
  </si>
  <si>
    <t>RC028J</t>
  </si>
  <si>
    <t>W/E Pom Pom Beanie Hat</t>
  </si>
  <si>
    <t>W/E Junior Pom Pom Beanie Hat</t>
  </si>
  <si>
    <t>R473X</t>
  </si>
  <si>
    <t>W/G Slim Softshell Work Trouser</t>
  </si>
  <si>
    <t>R239X</t>
  </si>
  <si>
    <t>Thermoquilt Gilet</t>
  </si>
  <si>
    <t>RC027X</t>
  </si>
  <si>
    <t>W/E Double Knit Printers Beanie</t>
  </si>
  <si>
    <t>RC034X</t>
  </si>
  <si>
    <r>
      <t>W/E Double Knit Thinsulate</t>
    </r>
    <r>
      <rPr>
        <sz val="12"/>
        <rFont val="Calibri"/>
        <family val="2"/>
      </rPr>
      <t>™</t>
    </r>
    <r>
      <rPr>
        <sz val="12"/>
        <rFont val="Comic Sans MS"/>
        <family val="4"/>
      </rPr>
      <t xml:space="preserve"> Printers Beanie</t>
    </r>
  </si>
  <si>
    <t>R452X</t>
  </si>
  <si>
    <t>Core Motorway 2-tone Safety Coat</t>
  </si>
  <si>
    <t>R475X</t>
  </si>
  <si>
    <t>Printable Softshell Safety Coat</t>
  </si>
  <si>
    <t>R476X</t>
  </si>
  <si>
    <t>Printable Ripstop Safety Softshell Jacket</t>
  </si>
  <si>
    <t>Super Stretch Slim Chino</t>
  </si>
  <si>
    <t>R471X</t>
  </si>
  <si>
    <t>Super Steetch Slim Chino Short</t>
  </si>
  <si>
    <t>RC089X</t>
  </si>
  <si>
    <t>Core Detroit 1/2 Mesh Truckers Cap</t>
  </si>
  <si>
    <t>RC090X</t>
  </si>
  <si>
    <t>Core New York Sparkle Cap</t>
  </si>
  <si>
    <t>R470X</t>
  </si>
  <si>
    <t>R479X</t>
  </si>
  <si>
    <t>R500X</t>
  </si>
  <si>
    <t>R501X</t>
  </si>
  <si>
    <t>R502X</t>
  </si>
  <si>
    <t>R503X</t>
  </si>
  <si>
    <t>R900X</t>
  </si>
  <si>
    <t>R901F</t>
  </si>
  <si>
    <t>R901M</t>
  </si>
  <si>
    <t>R902F</t>
  </si>
  <si>
    <t>R902M</t>
  </si>
  <si>
    <t>R903X</t>
  </si>
  <si>
    <t>R904X</t>
  </si>
  <si>
    <t>R905J</t>
  </si>
  <si>
    <t>R905X</t>
  </si>
  <si>
    <t>R906X</t>
  </si>
  <si>
    <t>RC927X</t>
  </si>
  <si>
    <t>RC929X</t>
  </si>
  <si>
    <t>RC930X</t>
  </si>
  <si>
    <t>RC933X</t>
  </si>
  <si>
    <t>RC934X</t>
  </si>
  <si>
    <t>Safeguard Executive Cool Mesh Safety Vest</t>
  </si>
  <si>
    <t>Safeguard 100% Recycled Safety Polo Shirt</t>
  </si>
  <si>
    <t>Safeguard 100% Recycled Safety T-Shirt</t>
  </si>
  <si>
    <t>Safeguard Recycled Robust Fleece Hoody</t>
  </si>
  <si>
    <t>Safeguard Recycled Ripstop Hoody</t>
  </si>
  <si>
    <t>Recycled Printable 3 Layer Softshell Jacket</t>
  </si>
  <si>
    <t>Recycled Womens Printable 2 Layer Softshell Jacket</t>
  </si>
  <si>
    <t>Recycled Mens Printable 2 Layer Softshell Jacket</t>
  </si>
  <si>
    <t>Recycled Womens Printable 2 Layer Softshell Bodywarmer</t>
  </si>
  <si>
    <t>Recycled Mens Printable 2 Layer Softshell Bodywarmer</t>
  </si>
  <si>
    <t>Recycled 280gm Thermofleece Jacket</t>
  </si>
  <si>
    <t>Recycled 280gm Thermofleece Bodywarmer</t>
  </si>
  <si>
    <t>Recycled Junior Microfleece 1/4 Neck Zip Top</t>
  </si>
  <si>
    <t>Recycled 165gm Microfleece 1/4 Neck Zip Top</t>
  </si>
  <si>
    <t>Recycled 165gm Microfleece Hoody</t>
  </si>
  <si>
    <t>Recycled Printers Double Knit Wooly Hat</t>
  </si>
  <si>
    <t>Recycled Double Knit Wooly Hat</t>
  </si>
  <si>
    <t>Recycled Compass Double Knit Beanie</t>
  </si>
  <si>
    <t>Recycled Thinsulate Double Knit Beanie</t>
  </si>
  <si>
    <t>Recycled Printers Thinsulate Beanie</t>
  </si>
  <si>
    <t>2XL/3XL</t>
  </si>
  <si>
    <t>S/M, L/XL,</t>
  </si>
  <si>
    <t>RV003X</t>
  </si>
  <si>
    <t>RV005X</t>
  </si>
  <si>
    <t>RV006X</t>
  </si>
  <si>
    <t>ANTIBACTERIAL HAND SANITISER</t>
  </si>
  <si>
    <t>PROTECTIVE VINYL GLOVES</t>
  </si>
  <si>
    <t>RV008X</t>
  </si>
  <si>
    <t>500: 10packs of 50</t>
  </si>
  <si>
    <t>500ml</t>
  </si>
  <si>
    <t>100ml</t>
  </si>
  <si>
    <t>1800: 36packs of 50</t>
  </si>
  <si>
    <t>1500: 30packs of 50</t>
  </si>
  <si>
    <t>100pcs</t>
  </si>
  <si>
    <t>1000: 10packs of 100</t>
  </si>
  <si>
    <t>200: 20packs of 10</t>
  </si>
  <si>
    <t>600: 60packs of 10</t>
  </si>
  <si>
    <t>Core Hi-Vis Safety Vest (Orange/Yellow)                                   Core Enhanced Visibility Vest (Colours)</t>
  </si>
  <si>
    <t>Core Junior Hi-Vis Safety Vest (Orange/Yellow)                               Core Junior Enhanced Visibility Vest (Colours)</t>
  </si>
  <si>
    <t>RV004X (TDK)</t>
  </si>
  <si>
    <t>RV004X (CAB)</t>
  </si>
  <si>
    <t>2500: 50packs of 50</t>
  </si>
  <si>
    <t>RV001X (TDK)</t>
  </si>
  <si>
    <t>RV001X (KINSON)</t>
  </si>
  <si>
    <t>4-PLY RESPIRATOR MASK</t>
  </si>
  <si>
    <t>96 bottles</t>
  </si>
  <si>
    <t>24 bottles</t>
  </si>
  <si>
    <t>RV009X</t>
  </si>
  <si>
    <t>500: 50packs of 10</t>
  </si>
  <si>
    <t>RV010X</t>
  </si>
  <si>
    <t>RV001X (CAB)</t>
  </si>
  <si>
    <t>AV.WEIGHT PER UNIT (kg)</t>
  </si>
  <si>
    <t>RV002X     RV022X</t>
  </si>
  <si>
    <t>DISPOSABLE 3-PLY MEDICAL MASK</t>
  </si>
  <si>
    <t>MEDICAL VINYL EXAMINATION GLOVES CLEAR</t>
  </si>
  <si>
    <t>BIODEGRADABLE DISINFECTANT WIPES</t>
  </si>
  <si>
    <t>DISPOSABLE MEDICAL SPLASH GOGGLES</t>
  </si>
  <si>
    <t>DISPOSABLE FACE SPLASH SHIELD</t>
  </si>
  <si>
    <t>RV011X</t>
  </si>
  <si>
    <t>DISPOSABLE HDP APRONS WHITE</t>
  </si>
  <si>
    <t>NATURAL YARN ANTIBACTERIAL FACE MASK</t>
  </si>
  <si>
    <t>RV015X</t>
  </si>
  <si>
    <t>ANTI-BAC ZIGZAG FACE MASK</t>
  </si>
  <si>
    <t>n/a</t>
  </si>
  <si>
    <t>EU</t>
  </si>
  <si>
    <t>500: 100packs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</si>
</sst>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£&quot;* #,##0.00_-;\-&quot;£&quot;* #,##0.00_-;_-&quot;£&quot;* &quot;-&quot;??_-;_-@_-"/>
    <numFmt numFmtId="165" formatCode="0.00;[Red]0.00"/>
    <numFmt numFmtId="166" formatCode="0.0;[Red]0.0"/>
    <numFmt numFmtId="167" formatCode="0.000;[Red]0.000"/>
    <numFmt numFmtId="168" formatCode="0.0%"/>
    <numFmt numFmtId="169" formatCode="0.000"/>
    <numFmt numFmtId="170" formatCode="0;[Red]0"/>
    <numFmt numFmtId="171" formatCode="0.0"/>
    <numFmt numFmtId="172" formatCode="_-[$£-809]* #,##0.00_-;\-[$£-809]* #,##0.00_-;_-[$£-809]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7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Fill="1"/>
    <xf numFmtId="168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8" fontId="5" fillId="0" borderId="0" xfId="0" applyNumberFormat="1" applyFont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left" vertical="center"/>
    </xf>
    <xf numFmtId="17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72" fontId="5" fillId="4" borderId="0" xfId="0" applyNumberFormat="1" applyFont="1" applyFill="1" applyBorder="1" applyAlignment="1">
      <alignment horizontal="left" vertical="center" wrapText="1"/>
    </xf>
    <xf numFmtId="172" fontId="5" fillId="4" borderId="1" xfId="0" applyNumberFormat="1" applyFont="1" applyFill="1" applyBorder="1" applyAlignment="1">
      <alignment horizontal="left" vertical="center" wrapText="1"/>
    </xf>
    <xf numFmtId="172" fontId="5" fillId="4" borderId="1" xfId="0" applyNumberFormat="1" applyFont="1" applyFill="1" applyBorder="1" applyAlignment="1">
      <alignment horizontal="left" vertical="center"/>
    </xf>
    <xf numFmtId="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left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72" fontId="2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7" fontId="5" fillId="0" borderId="3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68" fontId="5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7" fontId="5" fillId="6" borderId="3" xfId="0" applyNumberFormat="1" applyFont="1" applyFill="1" applyBorder="1" applyAlignment="1">
      <alignment horizontal="center" vertical="center" wrapText="1"/>
    </xf>
    <xf numFmtId="167" fontId="5" fillId="6" borderId="4" xfId="0" applyNumberFormat="1" applyFont="1" applyFill="1" applyBorder="1" applyAlignment="1">
      <alignment horizontal="center" vertical="center" wrapText="1"/>
    </xf>
    <xf numFmtId="167" fontId="5" fillId="6" borderId="2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</cellXfs>
  <cellStyles count="3">
    <cellStyle name="Normaali" xfId="0" builtinId="0"/>
    <cellStyle name="Normal 2" xfId="2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67"/>
  <sheetViews>
    <sheetView tabSelected="1" zoomScale="75" zoomScaleNormal="75" workbookViewId="0">
      <pane ySplit="2" topLeftCell="A3" activePane="bottomLeft" state="frozen"/>
      <selection pane="bottomLeft" activeCell="B7" sqref="B7"/>
    </sheetView>
  </sheetViews>
  <sheetFormatPr defaultRowHeight="19.5" x14ac:dyDescent="0.2"/>
  <cols>
    <col min="1" max="1" width="11" style="3" customWidth="1"/>
    <col min="2" max="2" width="71.28515625" style="3" customWidth="1"/>
    <col min="3" max="3" width="13.7109375" style="24" customWidth="1"/>
    <col min="4" max="4" width="8.5703125" style="24" customWidth="1"/>
    <col min="5" max="5" width="7.5703125" style="24" bestFit="1" customWidth="1"/>
    <col min="6" max="6" width="2.5703125" style="24" bestFit="1" customWidth="1"/>
    <col min="7" max="7" width="7.5703125" style="24" bestFit="1" customWidth="1"/>
    <col min="8" max="8" width="2.5703125" style="24" bestFit="1" customWidth="1"/>
    <col min="9" max="9" width="7.5703125" style="24" bestFit="1" customWidth="1"/>
    <col min="10" max="10" width="9.140625" style="25" customWidth="1"/>
    <col min="11" max="11" width="13.5703125" style="25" customWidth="1"/>
    <col min="12" max="12" width="15.42578125" style="25" customWidth="1"/>
    <col min="13" max="13" width="19.7109375" style="24" customWidth="1"/>
    <col min="14" max="14" width="13.140625" style="24" customWidth="1"/>
    <col min="15" max="15" width="7.5703125" style="11" hidden="1" customWidth="1"/>
    <col min="16" max="16" width="11.28515625" style="63" hidden="1" customWidth="1"/>
    <col min="17" max="17" width="14" style="56" hidden="1" customWidth="1"/>
    <col min="18" max="18" width="0" style="3" hidden="1" customWidth="1"/>
    <col min="19" max="16384" width="9.140625" style="3"/>
  </cols>
  <sheetData>
    <row r="1" spans="1:17" s="34" customFormat="1" x14ac:dyDescent="0.2">
      <c r="A1" s="222" t="s">
        <v>0</v>
      </c>
      <c r="B1" s="227" t="s">
        <v>1</v>
      </c>
      <c r="C1" s="226" t="s">
        <v>81</v>
      </c>
      <c r="D1" s="222" t="s">
        <v>2</v>
      </c>
      <c r="E1" s="222" t="s">
        <v>523</v>
      </c>
      <c r="F1" s="222"/>
      <c r="G1" s="222"/>
      <c r="H1" s="222"/>
      <c r="I1" s="222"/>
      <c r="J1" s="219" t="s">
        <v>82</v>
      </c>
      <c r="K1" s="219" t="s">
        <v>522</v>
      </c>
      <c r="L1" s="219" t="s">
        <v>560</v>
      </c>
      <c r="M1" s="222" t="s">
        <v>3</v>
      </c>
      <c r="N1" s="222" t="s">
        <v>4</v>
      </c>
      <c r="O1" s="33" t="s">
        <v>80</v>
      </c>
      <c r="P1" s="229" t="s">
        <v>823</v>
      </c>
      <c r="Q1" s="207" t="s">
        <v>825</v>
      </c>
    </row>
    <row r="2" spans="1:17" s="34" customFormat="1" ht="70.5" customHeight="1" x14ac:dyDescent="0.2">
      <c r="A2" s="222"/>
      <c r="B2" s="227"/>
      <c r="C2" s="226"/>
      <c r="D2" s="222"/>
      <c r="E2" s="41" t="s">
        <v>155</v>
      </c>
      <c r="F2" s="41"/>
      <c r="G2" s="41" t="s">
        <v>157</v>
      </c>
      <c r="H2" s="41"/>
      <c r="I2" s="41" t="s">
        <v>156</v>
      </c>
      <c r="J2" s="219"/>
      <c r="K2" s="219"/>
      <c r="L2" s="219"/>
      <c r="M2" s="222"/>
      <c r="N2" s="222"/>
      <c r="O2" s="33"/>
      <c r="P2" s="229"/>
      <c r="Q2" s="207"/>
    </row>
    <row r="3" spans="1:17" ht="58.5" x14ac:dyDescent="0.2">
      <c r="A3" s="4" t="s">
        <v>215</v>
      </c>
      <c r="B3" s="4" t="s">
        <v>512</v>
      </c>
      <c r="C3" s="5" t="s">
        <v>795</v>
      </c>
      <c r="D3" s="5">
        <v>50</v>
      </c>
      <c r="E3" s="5">
        <v>60</v>
      </c>
      <c r="F3" s="5" t="s">
        <v>159</v>
      </c>
      <c r="G3" s="5">
        <v>40</v>
      </c>
      <c r="H3" s="5" t="s">
        <v>159</v>
      </c>
      <c r="I3" s="5">
        <v>24</v>
      </c>
      <c r="J3" s="12">
        <f t="shared" ref="J3:J27" si="0">+E3*G3*I3/1000000</f>
        <v>5.7599999999999998E-2</v>
      </c>
      <c r="K3" s="12">
        <v>11</v>
      </c>
      <c r="L3" s="12">
        <v>0.2</v>
      </c>
      <c r="M3" s="5">
        <v>6210400000</v>
      </c>
      <c r="N3" s="5" t="s">
        <v>6</v>
      </c>
      <c r="O3" s="35">
        <v>0.12</v>
      </c>
      <c r="P3" s="59">
        <v>0.12</v>
      </c>
      <c r="Q3" s="57">
        <v>0.03</v>
      </c>
    </row>
    <row r="4" spans="1:17" ht="58.5" x14ac:dyDescent="0.2">
      <c r="A4" s="4" t="s">
        <v>216</v>
      </c>
      <c r="B4" s="4" t="s">
        <v>513</v>
      </c>
      <c r="C4" s="5" t="s">
        <v>934</v>
      </c>
      <c r="D4" s="5">
        <v>50</v>
      </c>
      <c r="E4" s="5">
        <v>60</v>
      </c>
      <c r="F4" s="5" t="s">
        <v>159</v>
      </c>
      <c r="G4" s="5">
        <v>40</v>
      </c>
      <c r="H4" s="5" t="s">
        <v>159</v>
      </c>
      <c r="I4" s="5">
        <v>27</v>
      </c>
      <c r="J4" s="12">
        <f t="shared" si="0"/>
        <v>6.4799999999999996E-2</v>
      </c>
      <c r="K4" s="12">
        <v>14</v>
      </c>
      <c r="L4" s="12">
        <v>0.25</v>
      </c>
      <c r="M4" s="5">
        <v>6210400000</v>
      </c>
      <c r="N4" s="5" t="s">
        <v>6</v>
      </c>
      <c r="O4" s="35">
        <v>0.12</v>
      </c>
      <c r="P4" s="59">
        <v>0.12</v>
      </c>
      <c r="Q4" s="57">
        <v>0.03</v>
      </c>
    </row>
    <row r="5" spans="1:17" x14ac:dyDescent="0.4">
      <c r="A5" s="4" t="s">
        <v>853</v>
      </c>
      <c r="B5" s="4" t="s">
        <v>935</v>
      </c>
      <c r="C5" s="5" t="s">
        <v>9</v>
      </c>
      <c r="D5" s="5">
        <v>200</v>
      </c>
      <c r="E5" s="17">
        <v>50</v>
      </c>
      <c r="F5" s="17" t="s">
        <v>159</v>
      </c>
      <c r="G5" s="17">
        <v>38</v>
      </c>
      <c r="H5" s="17" t="s">
        <v>159</v>
      </c>
      <c r="I5" s="17">
        <v>38</v>
      </c>
      <c r="J5" s="12">
        <f t="shared" si="0"/>
        <v>7.22E-2</v>
      </c>
      <c r="K5" s="20">
        <v>9</v>
      </c>
      <c r="L5" s="20">
        <v>4.4999999999999998E-2</v>
      </c>
      <c r="M5" s="91">
        <v>4202929890</v>
      </c>
      <c r="N5" s="20" t="s">
        <v>6</v>
      </c>
      <c r="O5" s="35"/>
      <c r="P5" s="59"/>
      <c r="Q5" s="57"/>
    </row>
    <row r="6" spans="1:17" s="2" customFormat="1" x14ac:dyDescent="0.2">
      <c r="A6" s="8" t="s">
        <v>217</v>
      </c>
      <c r="B6" s="8" t="s">
        <v>631</v>
      </c>
      <c r="C6" s="9" t="s">
        <v>47</v>
      </c>
      <c r="D6" s="9">
        <v>10</v>
      </c>
      <c r="E6" s="9">
        <v>60</v>
      </c>
      <c r="F6" s="5" t="s">
        <v>159</v>
      </c>
      <c r="G6" s="9">
        <v>40</v>
      </c>
      <c r="H6" s="5" t="s">
        <v>159</v>
      </c>
      <c r="I6" s="9">
        <v>52</v>
      </c>
      <c r="J6" s="12">
        <f t="shared" si="0"/>
        <v>0.12479999999999999</v>
      </c>
      <c r="K6" s="7">
        <v>11.5</v>
      </c>
      <c r="L6" s="7">
        <f>K6/D6</f>
        <v>1.1499999999999999</v>
      </c>
      <c r="M6" s="9">
        <v>6210400000</v>
      </c>
      <c r="N6" s="9" t="s">
        <v>6</v>
      </c>
      <c r="O6" s="35">
        <v>0.12</v>
      </c>
      <c r="P6" s="59">
        <v>0.12</v>
      </c>
      <c r="Q6" s="57">
        <v>0.03</v>
      </c>
    </row>
    <row r="7" spans="1:17" s="2" customFormat="1" x14ac:dyDescent="0.2">
      <c r="A7" s="8" t="s">
        <v>218</v>
      </c>
      <c r="B7" s="8" t="s">
        <v>632</v>
      </c>
      <c r="C7" s="9" t="s">
        <v>29</v>
      </c>
      <c r="D7" s="9">
        <v>10</v>
      </c>
      <c r="E7" s="9">
        <v>60</v>
      </c>
      <c r="F7" s="5" t="s">
        <v>159</v>
      </c>
      <c r="G7" s="9">
        <v>40</v>
      </c>
      <c r="H7" s="5" t="s">
        <v>159</v>
      </c>
      <c r="I7" s="9">
        <v>36</v>
      </c>
      <c r="J7" s="12">
        <f t="shared" si="0"/>
        <v>8.6400000000000005E-2</v>
      </c>
      <c r="K7" s="7">
        <v>10</v>
      </c>
      <c r="L7" s="7">
        <f>K7/D7</f>
        <v>1</v>
      </c>
      <c r="M7" s="5">
        <v>6103390090</v>
      </c>
      <c r="N7" s="5" t="s">
        <v>108</v>
      </c>
      <c r="O7" s="35">
        <v>0.12</v>
      </c>
      <c r="P7" s="59">
        <v>0.12</v>
      </c>
      <c r="Q7" s="57">
        <v>0.03</v>
      </c>
    </row>
    <row r="8" spans="1:17" x14ac:dyDescent="0.2">
      <c r="A8" s="4" t="s">
        <v>219</v>
      </c>
      <c r="B8" s="4" t="s">
        <v>633</v>
      </c>
      <c r="C8" s="5" t="s">
        <v>29</v>
      </c>
      <c r="D8" s="5">
        <v>10</v>
      </c>
      <c r="E8" s="5">
        <v>60</v>
      </c>
      <c r="F8" s="5" t="s">
        <v>159</v>
      </c>
      <c r="G8" s="5">
        <v>40</v>
      </c>
      <c r="H8" s="5" t="s">
        <v>159</v>
      </c>
      <c r="I8" s="5">
        <v>50</v>
      </c>
      <c r="J8" s="12">
        <f t="shared" si="0"/>
        <v>0.12</v>
      </c>
      <c r="K8" s="12">
        <v>13.5</v>
      </c>
      <c r="L8" s="12">
        <v>1.2</v>
      </c>
      <c r="M8" s="5">
        <v>6201930000</v>
      </c>
      <c r="N8" s="5" t="s">
        <v>6</v>
      </c>
      <c r="O8" s="35">
        <v>0.12</v>
      </c>
      <c r="P8" s="59">
        <v>0.12</v>
      </c>
      <c r="Q8" s="57">
        <v>0.03</v>
      </c>
    </row>
    <row r="9" spans="1:17" x14ac:dyDescent="0.2">
      <c r="A9" s="4" t="s">
        <v>220</v>
      </c>
      <c r="B9" s="4" t="s">
        <v>634</v>
      </c>
      <c r="C9" s="5" t="s">
        <v>7</v>
      </c>
      <c r="D9" s="5">
        <v>50</v>
      </c>
      <c r="E9" s="5">
        <v>55</v>
      </c>
      <c r="F9" s="5" t="s">
        <v>159</v>
      </c>
      <c r="G9" s="5">
        <v>31</v>
      </c>
      <c r="H9" s="5" t="s">
        <v>159</v>
      </c>
      <c r="I9" s="5">
        <v>19</v>
      </c>
      <c r="J9" s="12">
        <f t="shared" si="0"/>
        <v>3.2395E-2</v>
      </c>
      <c r="K9" s="12">
        <v>7</v>
      </c>
      <c r="L9" s="12">
        <v>0.1</v>
      </c>
      <c r="M9" s="5">
        <v>6114300000</v>
      </c>
      <c r="N9" s="5" t="s">
        <v>6</v>
      </c>
      <c r="O9" s="35">
        <v>0.12</v>
      </c>
      <c r="P9" s="59">
        <v>0.12</v>
      </c>
      <c r="Q9" s="57">
        <v>0.03</v>
      </c>
    </row>
    <row r="10" spans="1:17" x14ac:dyDescent="0.2">
      <c r="A10" s="4" t="s">
        <v>221</v>
      </c>
      <c r="B10" s="4" t="s">
        <v>635</v>
      </c>
      <c r="C10" s="5" t="s">
        <v>29</v>
      </c>
      <c r="D10" s="5">
        <v>50</v>
      </c>
      <c r="E10" s="5">
        <v>58</v>
      </c>
      <c r="F10" s="5" t="s">
        <v>159</v>
      </c>
      <c r="G10" s="5">
        <v>32</v>
      </c>
      <c r="H10" s="5" t="s">
        <v>159</v>
      </c>
      <c r="I10" s="5">
        <v>25</v>
      </c>
      <c r="J10" s="12">
        <f t="shared" si="0"/>
        <v>4.6399999999999997E-2</v>
      </c>
      <c r="K10" s="12">
        <v>7</v>
      </c>
      <c r="L10" s="12">
        <v>0.1</v>
      </c>
      <c r="M10" s="5">
        <v>6114300000</v>
      </c>
      <c r="N10" s="5" t="s">
        <v>6</v>
      </c>
      <c r="O10" s="35">
        <v>0.12</v>
      </c>
      <c r="P10" s="59">
        <v>0.12</v>
      </c>
      <c r="Q10" s="57">
        <v>0.03</v>
      </c>
    </row>
    <row r="11" spans="1:17" x14ac:dyDescent="0.2">
      <c r="A11" s="4" t="s">
        <v>222</v>
      </c>
      <c r="B11" s="4" t="s">
        <v>636</v>
      </c>
      <c r="C11" s="5" t="s">
        <v>47</v>
      </c>
      <c r="D11" s="5">
        <v>20</v>
      </c>
      <c r="E11" s="5">
        <v>32</v>
      </c>
      <c r="F11" s="5" t="s">
        <v>159</v>
      </c>
      <c r="G11" s="5">
        <v>28</v>
      </c>
      <c r="H11" s="5" t="s">
        <v>159</v>
      </c>
      <c r="I11" s="5">
        <v>36</v>
      </c>
      <c r="J11" s="12">
        <f t="shared" si="0"/>
        <v>3.2256E-2</v>
      </c>
      <c r="K11" s="12">
        <v>10</v>
      </c>
      <c r="L11" s="12">
        <v>0.45</v>
      </c>
      <c r="M11" s="5">
        <v>6210400000</v>
      </c>
      <c r="N11" s="5" t="s">
        <v>6</v>
      </c>
      <c r="O11" s="35">
        <v>0.12</v>
      </c>
      <c r="P11" s="59">
        <v>0.12</v>
      </c>
      <c r="Q11" s="57">
        <v>0.03</v>
      </c>
    </row>
    <row r="12" spans="1:17" x14ac:dyDescent="0.2">
      <c r="A12" s="4" t="s">
        <v>223</v>
      </c>
      <c r="B12" s="4" t="s">
        <v>36</v>
      </c>
      <c r="C12" s="5" t="s">
        <v>29</v>
      </c>
      <c r="D12" s="5">
        <v>10</v>
      </c>
      <c r="E12" s="5">
        <v>60</v>
      </c>
      <c r="F12" s="5" t="s">
        <v>159</v>
      </c>
      <c r="G12" s="5">
        <v>40</v>
      </c>
      <c r="H12" s="5" t="s">
        <v>159</v>
      </c>
      <c r="I12" s="5">
        <v>45</v>
      </c>
      <c r="J12" s="12">
        <f t="shared" si="0"/>
        <v>0.108</v>
      </c>
      <c r="K12" s="12">
        <v>13.5</v>
      </c>
      <c r="L12" s="12">
        <v>1.2</v>
      </c>
      <c r="M12" s="5">
        <v>6210400000</v>
      </c>
      <c r="N12" s="5" t="s">
        <v>6</v>
      </c>
      <c r="O12" s="35">
        <v>0.12</v>
      </c>
      <c r="P12" s="59">
        <v>0.12</v>
      </c>
      <c r="Q12" s="57">
        <v>0.03</v>
      </c>
    </row>
    <row r="13" spans="1:17" s="2" customFormat="1" x14ac:dyDescent="0.2">
      <c r="A13" s="225" t="s">
        <v>224</v>
      </c>
      <c r="B13" s="225" t="s">
        <v>88</v>
      </c>
      <c r="C13" s="5" t="s">
        <v>7</v>
      </c>
      <c r="D13" s="220">
        <v>10</v>
      </c>
      <c r="E13" s="5">
        <v>60</v>
      </c>
      <c r="F13" s="5" t="s">
        <v>159</v>
      </c>
      <c r="G13" s="5">
        <v>40</v>
      </c>
      <c r="H13" s="5" t="s">
        <v>159</v>
      </c>
      <c r="I13" s="5">
        <v>46</v>
      </c>
      <c r="J13" s="12">
        <f t="shared" si="0"/>
        <v>0.1104</v>
      </c>
      <c r="K13" s="221">
        <v>12</v>
      </c>
      <c r="L13" s="221">
        <f>K13/D13</f>
        <v>1.2</v>
      </c>
      <c r="M13" s="208">
        <v>6210400000</v>
      </c>
      <c r="N13" s="220" t="s">
        <v>6</v>
      </c>
      <c r="O13" s="35">
        <v>0.12</v>
      </c>
      <c r="P13" s="59">
        <v>0.12</v>
      </c>
      <c r="Q13" s="57">
        <v>0.03</v>
      </c>
    </row>
    <row r="14" spans="1:17" s="2" customFormat="1" x14ac:dyDescent="0.2">
      <c r="A14" s="225"/>
      <c r="B14" s="225"/>
      <c r="C14" s="5" t="s">
        <v>158</v>
      </c>
      <c r="D14" s="220"/>
      <c r="E14" s="5">
        <v>60</v>
      </c>
      <c r="F14" s="5" t="s">
        <v>159</v>
      </c>
      <c r="G14" s="5">
        <v>40</v>
      </c>
      <c r="H14" s="5" t="s">
        <v>159</v>
      </c>
      <c r="I14" s="5">
        <v>48</v>
      </c>
      <c r="J14" s="12">
        <f t="shared" si="0"/>
        <v>0.1152</v>
      </c>
      <c r="K14" s="221"/>
      <c r="L14" s="221"/>
      <c r="M14" s="208"/>
      <c r="N14" s="220"/>
      <c r="O14" s="35"/>
      <c r="P14" s="60"/>
      <c r="Q14" s="58"/>
    </row>
    <row r="15" spans="1:17" x14ac:dyDescent="0.2">
      <c r="A15" s="4" t="s">
        <v>419</v>
      </c>
      <c r="B15" s="8" t="s">
        <v>637</v>
      </c>
      <c r="C15" s="5" t="s">
        <v>93</v>
      </c>
      <c r="D15" s="5">
        <v>20</v>
      </c>
      <c r="E15" s="5">
        <v>60</v>
      </c>
      <c r="F15" s="5" t="s">
        <v>159</v>
      </c>
      <c r="G15" s="5">
        <v>40</v>
      </c>
      <c r="H15" s="5" t="s">
        <v>159</v>
      </c>
      <c r="I15" s="5">
        <v>42</v>
      </c>
      <c r="J15" s="12">
        <f t="shared" si="0"/>
        <v>0.1008</v>
      </c>
      <c r="K15" s="7">
        <v>12.5</v>
      </c>
      <c r="L15" s="7">
        <f>K15/D15</f>
        <v>0.625</v>
      </c>
      <c r="M15" s="115">
        <v>6103390090</v>
      </c>
      <c r="N15" s="5" t="s">
        <v>108</v>
      </c>
      <c r="O15" s="35">
        <v>0.12</v>
      </c>
      <c r="P15" s="59">
        <v>0.12</v>
      </c>
      <c r="Q15" s="57">
        <v>0.03</v>
      </c>
    </row>
    <row r="16" spans="1:17" x14ac:dyDescent="0.2">
      <c r="A16" s="4" t="s">
        <v>418</v>
      </c>
      <c r="B16" s="8" t="s">
        <v>638</v>
      </c>
      <c r="C16" s="5" t="s">
        <v>420</v>
      </c>
      <c r="D16" s="5">
        <v>20</v>
      </c>
      <c r="E16" s="5">
        <v>60</v>
      </c>
      <c r="F16" s="5" t="s">
        <v>159</v>
      </c>
      <c r="G16" s="5">
        <v>40</v>
      </c>
      <c r="H16" s="5" t="s">
        <v>159</v>
      </c>
      <c r="I16" s="5">
        <v>42</v>
      </c>
      <c r="J16" s="12">
        <f t="shared" si="0"/>
        <v>0.1008</v>
      </c>
      <c r="K16" s="7">
        <v>12.5</v>
      </c>
      <c r="L16" s="7">
        <f>K16/D16</f>
        <v>0.625</v>
      </c>
      <c r="M16" s="115">
        <v>6103390090</v>
      </c>
      <c r="N16" s="5" t="s">
        <v>108</v>
      </c>
      <c r="O16" s="35">
        <v>0.12</v>
      </c>
      <c r="P16" s="59">
        <v>0.12</v>
      </c>
      <c r="Q16" s="57">
        <v>0.03</v>
      </c>
    </row>
    <row r="17" spans="1:17" x14ac:dyDescent="0.2">
      <c r="A17" s="206" t="s">
        <v>225</v>
      </c>
      <c r="B17" s="223" t="s">
        <v>639</v>
      </c>
      <c r="C17" s="5" t="s">
        <v>161</v>
      </c>
      <c r="D17" s="208">
        <v>20</v>
      </c>
      <c r="E17" s="5">
        <v>60</v>
      </c>
      <c r="F17" s="5" t="s">
        <v>159</v>
      </c>
      <c r="G17" s="5">
        <v>40</v>
      </c>
      <c r="H17" s="5" t="s">
        <v>159</v>
      </c>
      <c r="I17" s="5">
        <v>55</v>
      </c>
      <c r="J17" s="12">
        <f t="shared" si="0"/>
        <v>0.13200000000000001</v>
      </c>
      <c r="K17" s="221">
        <v>15.5</v>
      </c>
      <c r="L17" s="221">
        <f>K17/D17</f>
        <v>0.77500000000000002</v>
      </c>
      <c r="M17" s="208">
        <v>6103390090</v>
      </c>
      <c r="N17" s="208" t="s">
        <v>108</v>
      </c>
      <c r="O17" s="35">
        <v>0.12</v>
      </c>
      <c r="P17" s="59">
        <v>0.12</v>
      </c>
      <c r="Q17" s="57">
        <v>0.03</v>
      </c>
    </row>
    <row r="18" spans="1:17" x14ac:dyDescent="0.2">
      <c r="A18" s="206"/>
      <c r="B18" s="224"/>
      <c r="C18" s="5" t="s">
        <v>164</v>
      </c>
      <c r="D18" s="208"/>
      <c r="E18" s="5">
        <v>65</v>
      </c>
      <c r="F18" s="5" t="s">
        <v>159</v>
      </c>
      <c r="G18" s="5">
        <v>40</v>
      </c>
      <c r="H18" s="5" t="s">
        <v>159</v>
      </c>
      <c r="I18" s="5">
        <v>55</v>
      </c>
      <c r="J18" s="12">
        <f t="shared" si="0"/>
        <v>0.14299999999999999</v>
      </c>
      <c r="K18" s="221"/>
      <c r="L18" s="221"/>
      <c r="M18" s="208"/>
      <c r="N18" s="208"/>
      <c r="O18" s="35"/>
      <c r="P18" s="61"/>
      <c r="Q18" s="57"/>
    </row>
    <row r="19" spans="1:17" s="2" customFormat="1" x14ac:dyDescent="0.2">
      <c r="A19" s="8" t="s">
        <v>421</v>
      </c>
      <c r="B19" s="52" t="s">
        <v>640</v>
      </c>
      <c r="C19" s="5" t="s">
        <v>93</v>
      </c>
      <c r="D19" s="9">
        <v>20</v>
      </c>
      <c r="E19" s="9">
        <v>60</v>
      </c>
      <c r="F19" s="5" t="s">
        <v>159</v>
      </c>
      <c r="G19" s="9">
        <v>40</v>
      </c>
      <c r="H19" s="5" t="s">
        <v>159</v>
      </c>
      <c r="I19" s="9">
        <v>42</v>
      </c>
      <c r="J19" s="12">
        <f t="shared" si="0"/>
        <v>0.1008</v>
      </c>
      <c r="K19" s="7">
        <v>12</v>
      </c>
      <c r="L19" s="7">
        <f>K19/D19</f>
        <v>0.6</v>
      </c>
      <c r="M19" s="5">
        <v>6103390090</v>
      </c>
      <c r="N19" s="5" t="s">
        <v>108</v>
      </c>
      <c r="O19" s="35">
        <v>0.12</v>
      </c>
      <c r="P19" s="59">
        <v>0.12</v>
      </c>
      <c r="Q19" s="57">
        <v>0.03</v>
      </c>
    </row>
    <row r="20" spans="1:17" s="2" customFormat="1" x14ac:dyDescent="0.2">
      <c r="A20" s="8" t="s">
        <v>422</v>
      </c>
      <c r="B20" s="52" t="s">
        <v>641</v>
      </c>
      <c r="C20" s="5" t="s">
        <v>107</v>
      </c>
      <c r="D20" s="9">
        <v>20</v>
      </c>
      <c r="E20" s="9">
        <v>60</v>
      </c>
      <c r="F20" s="5" t="s">
        <v>159</v>
      </c>
      <c r="G20" s="9">
        <v>40</v>
      </c>
      <c r="H20" s="5" t="s">
        <v>159</v>
      </c>
      <c r="I20" s="9">
        <v>42</v>
      </c>
      <c r="J20" s="12">
        <f t="shared" si="0"/>
        <v>0.1008</v>
      </c>
      <c r="K20" s="7">
        <v>12</v>
      </c>
      <c r="L20" s="7">
        <f>K20/D20</f>
        <v>0.6</v>
      </c>
      <c r="M20" s="115">
        <v>6103390090</v>
      </c>
      <c r="N20" s="5" t="s">
        <v>108</v>
      </c>
      <c r="O20" s="35"/>
      <c r="P20" s="59">
        <v>0.12</v>
      </c>
      <c r="Q20" s="57">
        <v>0.03</v>
      </c>
    </row>
    <row r="21" spans="1:17" x14ac:dyDescent="0.2">
      <c r="A21" s="206" t="s">
        <v>226</v>
      </c>
      <c r="B21" s="223" t="s">
        <v>642</v>
      </c>
      <c r="C21" s="5" t="s">
        <v>161</v>
      </c>
      <c r="D21" s="208">
        <v>20</v>
      </c>
      <c r="E21" s="5">
        <v>60</v>
      </c>
      <c r="F21" s="5" t="s">
        <v>159</v>
      </c>
      <c r="G21" s="5">
        <v>40</v>
      </c>
      <c r="H21" s="5" t="s">
        <v>159</v>
      </c>
      <c r="I21" s="5">
        <v>55</v>
      </c>
      <c r="J21" s="12">
        <f t="shared" si="0"/>
        <v>0.13200000000000001</v>
      </c>
      <c r="K21" s="221">
        <v>16.5</v>
      </c>
      <c r="L21" s="221">
        <f>K21/D21</f>
        <v>0.82499999999999996</v>
      </c>
      <c r="M21" s="208">
        <v>6103390090</v>
      </c>
      <c r="N21" s="208" t="s">
        <v>108</v>
      </c>
      <c r="O21" s="35">
        <v>0.12</v>
      </c>
      <c r="P21" s="59">
        <v>0.12</v>
      </c>
      <c r="Q21" s="57">
        <v>0.03</v>
      </c>
    </row>
    <row r="22" spans="1:17" x14ac:dyDescent="0.2">
      <c r="A22" s="206"/>
      <c r="B22" s="224"/>
      <c r="C22" s="5" t="s">
        <v>160</v>
      </c>
      <c r="D22" s="208"/>
      <c r="E22" s="5">
        <v>65</v>
      </c>
      <c r="F22" s="5" t="s">
        <v>159</v>
      </c>
      <c r="G22" s="5">
        <v>40</v>
      </c>
      <c r="H22" s="5" t="s">
        <v>159</v>
      </c>
      <c r="I22" s="5">
        <v>55</v>
      </c>
      <c r="J22" s="12">
        <f t="shared" si="0"/>
        <v>0.14299999999999999</v>
      </c>
      <c r="K22" s="221"/>
      <c r="L22" s="221"/>
      <c r="M22" s="208"/>
      <c r="N22" s="208"/>
      <c r="O22" s="35"/>
      <c r="P22" s="61"/>
      <c r="Q22" s="57"/>
    </row>
    <row r="23" spans="1:17" s="2" customFormat="1" x14ac:dyDescent="0.2">
      <c r="A23" s="8" t="s">
        <v>424</v>
      </c>
      <c r="B23" s="8" t="s">
        <v>644</v>
      </c>
      <c r="C23" s="5" t="s">
        <v>93</v>
      </c>
      <c r="D23" s="9">
        <v>20</v>
      </c>
      <c r="E23" s="9">
        <v>55</v>
      </c>
      <c r="F23" s="5" t="s">
        <v>159</v>
      </c>
      <c r="G23" s="9">
        <v>34</v>
      </c>
      <c r="H23" s="5" t="s">
        <v>159</v>
      </c>
      <c r="I23" s="9">
        <v>36</v>
      </c>
      <c r="J23" s="12">
        <f t="shared" si="0"/>
        <v>6.7320000000000005E-2</v>
      </c>
      <c r="K23" s="7">
        <v>8</v>
      </c>
      <c r="L23" s="7">
        <f>K23/D23</f>
        <v>0.4</v>
      </c>
      <c r="M23" s="5">
        <v>6103390090</v>
      </c>
      <c r="N23" s="9" t="s">
        <v>108</v>
      </c>
      <c r="O23" s="35">
        <v>0.12</v>
      </c>
      <c r="P23" s="59">
        <v>0.12</v>
      </c>
      <c r="Q23" s="57">
        <v>0.03</v>
      </c>
    </row>
    <row r="24" spans="1:17" s="2" customFormat="1" x14ac:dyDescent="0.2">
      <c r="A24" s="8" t="s">
        <v>423</v>
      </c>
      <c r="B24" s="8" t="s">
        <v>645</v>
      </c>
      <c r="C24" s="5" t="s">
        <v>420</v>
      </c>
      <c r="D24" s="9">
        <v>20</v>
      </c>
      <c r="E24" s="9">
        <v>55</v>
      </c>
      <c r="F24" s="5" t="s">
        <v>159</v>
      </c>
      <c r="G24" s="9">
        <v>34</v>
      </c>
      <c r="H24" s="5" t="s">
        <v>159</v>
      </c>
      <c r="I24" s="9">
        <v>36</v>
      </c>
      <c r="J24" s="12">
        <f t="shared" si="0"/>
        <v>6.7320000000000005E-2</v>
      </c>
      <c r="K24" s="7">
        <v>8</v>
      </c>
      <c r="L24" s="7">
        <f>K24/D24</f>
        <v>0.4</v>
      </c>
      <c r="M24" s="5">
        <v>6103390090</v>
      </c>
      <c r="N24" s="9" t="s">
        <v>108</v>
      </c>
      <c r="O24" s="35">
        <v>0.12</v>
      </c>
      <c r="P24" s="59">
        <v>0.12</v>
      </c>
      <c r="Q24" s="57">
        <v>0.03</v>
      </c>
    </row>
    <row r="25" spans="1:17" s="2" customFormat="1" x14ac:dyDescent="0.2">
      <c r="A25" s="8" t="s">
        <v>227</v>
      </c>
      <c r="B25" s="53" t="s">
        <v>643</v>
      </c>
      <c r="C25" s="9" t="s">
        <v>23</v>
      </c>
      <c r="D25" s="9">
        <v>25</v>
      </c>
      <c r="E25" s="9">
        <v>60</v>
      </c>
      <c r="F25" s="5" t="s">
        <v>159</v>
      </c>
      <c r="G25" s="9">
        <v>40</v>
      </c>
      <c r="H25" s="5" t="s">
        <v>159</v>
      </c>
      <c r="I25" s="9">
        <v>52</v>
      </c>
      <c r="J25" s="12">
        <f t="shared" si="0"/>
        <v>0.12479999999999999</v>
      </c>
      <c r="K25" s="7">
        <v>13.5</v>
      </c>
      <c r="L25" s="7">
        <f>K25/D25</f>
        <v>0.54</v>
      </c>
      <c r="M25" s="5">
        <v>6103390090</v>
      </c>
      <c r="N25" s="9" t="s">
        <v>108</v>
      </c>
      <c r="O25" s="35">
        <v>0.12</v>
      </c>
      <c r="P25" s="59">
        <v>0.12</v>
      </c>
      <c r="Q25" s="57">
        <v>0.03</v>
      </c>
    </row>
    <row r="26" spans="1:17" s="2" customFormat="1" x14ac:dyDescent="0.2">
      <c r="A26" s="8" t="s">
        <v>228</v>
      </c>
      <c r="B26" s="53" t="s">
        <v>646</v>
      </c>
      <c r="C26" s="9" t="s">
        <v>9</v>
      </c>
      <c r="D26" s="9">
        <v>20</v>
      </c>
      <c r="E26" s="9">
        <v>60</v>
      </c>
      <c r="F26" s="5" t="s">
        <v>159</v>
      </c>
      <c r="G26" s="9">
        <v>36</v>
      </c>
      <c r="H26" s="5" t="s">
        <v>159</v>
      </c>
      <c r="I26" s="9">
        <v>68</v>
      </c>
      <c r="J26" s="12">
        <f t="shared" si="0"/>
        <v>0.14688000000000001</v>
      </c>
      <c r="K26" s="7">
        <v>18.5</v>
      </c>
      <c r="L26" s="12">
        <f>K26/D26</f>
        <v>0.92500000000000004</v>
      </c>
      <c r="M26" s="9">
        <v>6301409099</v>
      </c>
      <c r="N26" s="9" t="s">
        <v>108</v>
      </c>
      <c r="P26" s="59">
        <v>0.12</v>
      </c>
      <c r="Q26" s="57">
        <v>0.03</v>
      </c>
    </row>
    <row r="27" spans="1:17" x14ac:dyDescent="0.2">
      <c r="A27" s="206" t="s">
        <v>229</v>
      </c>
      <c r="B27" s="206" t="s">
        <v>607</v>
      </c>
      <c r="C27" s="208" t="s">
        <v>7</v>
      </c>
      <c r="D27" s="208">
        <v>50</v>
      </c>
      <c r="E27" s="208">
        <v>60</v>
      </c>
      <c r="F27" s="208" t="s">
        <v>159</v>
      </c>
      <c r="G27" s="208">
        <v>30</v>
      </c>
      <c r="H27" s="208" t="s">
        <v>159</v>
      </c>
      <c r="I27" s="208">
        <v>48</v>
      </c>
      <c r="J27" s="190">
        <f t="shared" si="0"/>
        <v>8.6400000000000005E-2</v>
      </c>
      <c r="K27" s="190">
        <v>12</v>
      </c>
      <c r="L27" s="190">
        <f>K27/D27</f>
        <v>0.24</v>
      </c>
      <c r="M27" s="5">
        <v>6117100000</v>
      </c>
      <c r="N27" s="208" t="s">
        <v>6</v>
      </c>
      <c r="O27" s="3"/>
      <c r="P27" s="59">
        <v>0.12</v>
      </c>
      <c r="Q27" s="57">
        <v>0.01</v>
      </c>
    </row>
    <row r="28" spans="1:17" x14ac:dyDescent="0.2">
      <c r="A28" s="206"/>
      <c r="B28" s="206"/>
      <c r="C28" s="208"/>
      <c r="D28" s="208"/>
      <c r="E28" s="208"/>
      <c r="F28" s="208"/>
      <c r="G28" s="208"/>
      <c r="H28" s="208"/>
      <c r="I28" s="208"/>
      <c r="J28" s="190"/>
      <c r="K28" s="190"/>
      <c r="L28" s="190"/>
      <c r="M28" s="17">
        <v>6116930000</v>
      </c>
      <c r="N28" s="208"/>
      <c r="O28" s="3"/>
      <c r="P28" s="62">
        <v>8.8999999999999996E-2</v>
      </c>
      <c r="Q28" s="57">
        <v>0.01</v>
      </c>
    </row>
    <row r="29" spans="1:17" x14ac:dyDescent="0.2">
      <c r="A29" s="206"/>
      <c r="B29" s="206"/>
      <c r="C29" s="208"/>
      <c r="D29" s="208"/>
      <c r="E29" s="208"/>
      <c r="F29" s="208"/>
      <c r="G29" s="208"/>
      <c r="H29" s="208"/>
      <c r="I29" s="208"/>
      <c r="J29" s="190"/>
      <c r="K29" s="190"/>
      <c r="L29" s="190"/>
      <c r="M29" s="5">
        <v>6505009090</v>
      </c>
      <c r="N29" s="208"/>
      <c r="O29" s="3"/>
      <c r="P29" s="62">
        <v>2.7E-2</v>
      </c>
      <c r="Q29" s="57">
        <v>0.01</v>
      </c>
    </row>
    <row r="30" spans="1:17" s="2" customFormat="1" x14ac:dyDescent="0.2">
      <c r="A30" s="8" t="s">
        <v>230</v>
      </c>
      <c r="B30" s="8" t="s">
        <v>10</v>
      </c>
      <c r="C30" s="9" t="s">
        <v>47</v>
      </c>
      <c r="D30" s="9">
        <v>10</v>
      </c>
      <c r="E30" s="9">
        <v>60</v>
      </c>
      <c r="F30" s="5" t="s">
        <v>159</v>
      </c>
      <c r="G30" s="9">
        <v>40</v>
      </c>
      <c r="H30" s="5" t="s">
        <v>159</v>
      </c>
      <c r="I30" s="9">
        <v>36</v>
      </c>
      <c r="J30" s="12">
        <f t="shared" ref="J30:J61" si="1">+E30*G30*I30/1000000</f>
        <v>8.6400000000000005E-2</v>
      </c>
      <c r="K30" s="7">
        <v>10.5</v>
      </c>
      <c r="L30" s="7">
        <f>K30/D30</f>
        <v>1.05</v>
      </c>
      <c r="M30" s="9">
        <v>6210400000</v>
      </c>
      <c r="N30" s="9" t="s">
        <v>108</v>
      </c>
      <c r="O30" s="35">
        <v>9.6000000000000002E-2</v>
      </c>
      <c r="P30" s="59">
        <v>0.12</v>
      </c>
      <c r="Q30" s="57">
        <v>0.03</v>
      </c>
    </row>
    <row r="31" spans="1:17" s="2" customFormat="1" x14ac:dyDescent="0.2">
      <c r="A31" s="8" t="s">
        <v>231</v>
      </c>
      <c r="B31" s="8" t="s">
        <v>11</v>
      </c>
      <c r="C31" s="9" t="s">
        <v>47</v>
      </c>
      <c r="D31" s="9">
        <v>10</v>
      </c>
      <c r="E31" s="9">
        <v>60</v>
      </c>
      <c r="F31" s="5" t="s">
        <v>159</v>
      </c>
      <c r="G31" s="9">
        <v>40</v>
      </c>
      <c r="H31" s="5" t="s">
        <v>159</v>
      </c>
      <c r="I31" s="9">
        <v>24</v>
      </c>
      <c r="J31" s="12">
        <f t="shared" si="1"/>
        <v>5.7599999999999998E-2</v>
      </c>
      <c r="K31" s="7">
        <v>6.3</v>
      </c>
      <c r="L31" s="7">
        <v>0.8</v>
      </c>
      <c r="M31" s="9">
        <v>6201930000</v>
      </c>
      <c r="N31" s="9" t="s">
        <v>6</v>
      </c>
      <c r="O31" s="35">
        <v>0.12</v>
      </c>
      <c r="P31" s="59">
        <v>0.12</v>
      </c>
      <c r="Q31" s="57">
        <v>0.03</v>
      </c>
    </row>
    <row r="32" spans="1:17" x14ac:dyDescent="0.2">
      <c r="A32" s="206" t="s">
        <v>232</v>
      </c>
      <c r="B32" s="206" t="s">
        <v>12</v>
      </c>
      <c r="C32" s="5" t="s">
        <v>177</v>
      </c>
      <c r="D32" s="208">
        <v>25</v>
      </c>
      <c r="E32" s="5">
        <v>60</v>
      </c>
      <c r="F32" s="5" t="s">
        <v>159</v>
      </c>
      <c r="G32" s="5">
        <v>40</v>
      </c>
      <c r="H32" s="5" t="s">
        <v>159</v>
      </c>
      <c r="I32" s="5">
        <v>17</v>
      </c>
      <c r="J32" s="12">
        <f t="shared" si="1"/>
        <v>4.0800000000000003E-2</v>
      </c>
      <c r="K32" s="190">
        <v>16</v>
      </c>
      <c r="L32" s="190">
        <v>0.6</v>
      </c>
      <c r="M32" s="208">
        <v>6211339000</v>
      </c>
      <c r="N32" s="208" t="s">
        <v>6</v>
      </c>
      <c r="O32" s="35">
        <v>0.12</v>
      </c>
      <c r="P32" s="59">
        <v>0.12</v>
      </c>
      <c r="Q32" s="57">
        <v>0.03</v>
      </c>
    </row>
    <row r="33" spans="1:17" x14ac:dyDescent="0.2">
      <c r="A33" s="206"/>
      <c r="B33" s="206"/>
      <c r="C33" s="5" t="s">
        <v>162</v>
      </c>
      <c r="D33" s="208"/>
      <c r="E33" s="5">
        <v>60</v>
      </c>
      <c r="F33" s="5" t="s">
        <v>159</v>
      </c>
      <c r="G33" s="5">
        <v>40</v>
      </c>
      <c r="H33" s="5" t="s">
        <v>159</v>
      </c>
      <c r="I33" s="5">
        <v>20</v>
      </c>
      <c r="J33" s="12">
        <f t="shared" si="1"/>
        <v>4.8000000000000001E-2</v>
      </c>
      <c r="K33" s="190"/>
      <c r="L33" s="190"/>
      <c r="M33" s="208"/>
      <c r="N33" s="208"/>
      <c r="O33" s="35"/>
      <c r="P33" s="61"/>
      <c r="Q33" s="57"/>
    </row>
    <row r="34" spans="1:17" s="2" customFormat="1" x14ac:dyDescent="0.2">
      <c r="A34" s="8" t="s">
        <v>233</v>
      </c>
      <c r="B34" s="8" t="s">
        <v>13</v>
      </c>
      <c r="C34" s="9" t="s">
        <v>47</v>
      </c>
      <c r="D34" s="9">
        <v>10</v>
      </c>
      <c r="E34" s="9">
        <v>60</v>
      </c>
      <c r="F34" s="5" t="s">
        <v>159</v>
      </c>
      <c r="G34" s="9">
        <v>40</v>
      </c>
      <c r="H34" s="5" t="s">
        <v>159</v>
      </c>
      <c r="I34" s="9">
        <v>52</v>
      </c>
      <c r="J34" s="12">
        <f t="shared" si="1"/>
        <v>0.12479999999999999</v>
      </c>
      <c r="K34" s="7">
        <v>12</v>
      </c>
      <c r="L34" s="7">
        <f>K34/D34</f>
        <v>1.2</v>
      </c>
      <c r="M34" s="9">
        <v>6201930000</v>
      </c>
      <c r="N34" s="9" t="s">
        <v>6</v>
      </c>
      <c r="O34" s="35">
        <v>0.12</v>
      </c>
      <c r="P34" s="59">
        <v>0.12</v>
      </c>
      <c r="Q34" s="57">
        <v>0.03</v>
      </c>
    </row>
    <row r="35" spans="1:17" x14ac:dyDescent="0.2">
      <c r="A35" s="4" t="s">
        <v>234</v>
      </c>
      <c r="B35" s="4" t="s">
        <v>31</v>
      </c>
      <c r="C35" s="5" t="s">
        <v>23</v>
      </c>
      <c r="D35" s="5">
        <v>20</v>
      </c>
      <c r="E35" s="5">
        <v>60</v>
      </c>
      <c r="F35" s="5" t="s">
        <v>159</v>
      </c>
      <c r="G35" s="5">
        <v>40</v>
      </c>
      <c r="H35" s="5" t="s">
        <v>159</v>
      </c>
      <c r="I35" s="5">
        <v>17</v>
      </c>
      <c r="J35" s="12">
        <f t="shared" si="1"/>
        <v>4.0800000000000003E-2</v>
      </c>
      <c r="K35" s="12">
        <v>10</v>
      </c>
      <c r="L35" s="12">
        <v>0.4</v>
      </c>
      <c r="M35" s="5">
        <v>6210400000</v>
      </c>
      <c r="N35" s="5" t="s">
        <v>6</v>
      </c>
      <c r="O35" s="35">
        <v>0.12</v>
      </c>
      <c r="P35" s="59">
        <v>0.12</v>
      </c>
      <c r="Q35" s="57">
        <v>0.03</v>
      </c>
    </row>
    <row r="36" spans="1:17" x14ac:dyDescent="0.2">
      <c r="A36" s="206" t="s">
        <v>235</v>
      </c>
      <c r="B36" s="206" t="s">
        <v>647</v>
      </c>
      <c r="C36" s="5" t="s">
        <v>163</v>
      </c>
      <c r="D36" s="208">
        <v>20</v>
      </c>
      <c r="E36" s="5">
        <v>60</v>
      </c>
      <c r="F36" s="5" t="s">
        <v>159</v>
      </c>
      <c r="G36" s="5">
        <v>40</v>
      </c>
      <c r="H36" s="5" t="s">
        <v>159</v>
      </c>
      <c r="I36" s="5">
        <v>28</v>
      </c>
      <c r="J36" s="12">
        <f t="shared" si="1"/>
        <v>6.7199999999999996E-2</v>
      </c>
      <c r="K36" s="12">
        <v>14.5</v>
      </c>
      <c r="L36" s="12">
        <v>0.65</v>
      </c>
      <c r="M36" s="208">
        <v>6201930000</v>
      </c>
      <c r="N36" s="208" t="s">
        <v>6</v>
      </c>
      <c r="O36" s="35">
        <v>0.12</v>
      </c>
      <c r="P36" s="59">
        <v>0.12</v>
      </c>
      <c r="Q36" s="57">
        <v>0.03</v>
      </c>
    </row>
    <row r="37" spans="1:17" x14ac:dyDescent="0.2">
      <c r="A37" s="206"/>
      <c r="B37" s="206"/>
      <c r="C37" s="5" t="s">
        <v>162</v>
      </c>
      <c r="D37" s="208"/>
      <c r="E37" s="5">
        <v>60</v>
      </c>
      <c r="F37" s="5" t="s">
        <v>159</v>
      </c>
      <c r="G37" s="5">
        <v>40</v>
      </c>
      <c r="H37" s="5" t="s">
        <v>159</v>
      </c>
      <c r="I37" s="5">
        <v>30</v>
      </c>
      <c r="J37" s="12">
        <f t="shared" si="1"/>
        <v>7.1999999999999995E-2</v>
      </c>
      <c r="K37" s="12">
        <v>15</v>
      </c>
      <c r="L37" s="12">
        <v>0.67500000000000004</v>
      </c>
      <c r="M37" s="208"/>
      <c r="N37" s="208"/>
      <c r="O37" s="35"/>
      <c r="P37" s="61"/>
      <c r="Q37" s="57"/>
    </row>
    <row r="38" spans="1:17" s="18" customFormat="1" x14ac:dyDescent="0.2">
      <c r="A38" s="19" t="s">
        <v>729</v>
      </c>
      <c r="B38" s="19" t="s">
        <v>730</v>
      </c>
      <c r="C38" s="17" t="s">
        <v>20</v>
      </c>
      <c r="D38" s="17">
        <v>8</v>
      </c>
      <c r="E38" s="17">
        <v>60</v>
      </c>
      <c r="F38" s="17" t="s">
        <v>159</v>
      </c>
      <c r="G38" s="17">
        <v>40</v>
      </c>
      <c r="H38" s="17" t="s">
        <v>159</v>
      </c>
      <c r="I38" s="17">
        <v>48</v>
      </c>
      <c r="J38" s="20">
        <f t="shared" si="1"/>
        <v>0.1152</v>
      </c>
      <c r="K38" s="20">
        <v>10</v>
      </c>
      <c r="L38" s="20">
        <v>1.125</v>
      </c>
      <c r="M38" s="17">
        <v>6210400000</v>
      </c>
      <c r="N38" s="17" t="s">
        <v>6</v>
      </c>
      <c r="O38" s="36"/>
      <c r="P38" s="70">
        <v>0.12</v>
      </c>
      <c r="Q38" s="71">
        <v>0.03</v>
      </c>
    </row>
    <row r="39" spans="1:17" x14ac:dyDescent="0.2">
      <c r="A39" s="206" t="s">
        <v>236</v>
      </c>
      <c r="B39" s="206" t="s">
        <v>40</v>
      </c>
      <c r="C39" s="5" t="s">
        <v>166</v>
      </c>
      <c r="D39" s="208">
        <v>10</v>
      </c>
      <c r="E39" s="5">
        <v>60</v>
      </c>
      <c r="F39" s="5" t="s">
        <v>159</v>
      </c>
      <c r="G39" s="5">
        <v>40</v>
      </c>
      <c r="H39" s="5" t="s">
        <v>159</v>
      </c>
      <c r="I39" s="5">
        <v>44</v>
      </c>
      <c r="J39" s="12">
        <f t="shared" si="1"/>
        <v>0.1056</v>
      </c>
      <c r="K39" s="190">
        <v>17.5</v>
      </c>
      <c r="L39" s="190">
        <v>1.75</v>
      </c>
      <c r="M39" s="208">
        <v>6210400000</v>
      </c>
      <c r="N39" s="208" t="s">
        <v>6</v>
      </c>
      <c r="O39" s="35">
        <v>0.12</v>
      </c>
      <c r="P39" s="59">
        <v>0.12</v>
      </c>
      <c r="Q39" s="57">
        <v>0.03</v>
      </c>
    </row>
    <row r="40" spans="1:17" x14ac:dyDescent="0.2">
      <c r="A40" s="206"/>
      <c r="B40" s="206"/>
      <c r="C40" s="5" t="s">
        <v>107</v>
      </c>
      <c r="D40" s="208"/>
      <c r="E40" s="5">
        <v>60</v>
      </c>
      <c r="F40" s="5" t="s">
        <v>159</v>
      </c>
      <c r="G40" s="5">
        <v>40</v>
      </c>
      <c r="H40" s="5" t="s">
        <v>159</v>
      </c>
      <c r="I40" s="5">
        <v>47</v>
      </c>
      <c r="J40" s="12">
        <f t="shared" si="1"/>
        <v>0.1128</v>
      </c>
      <c r="K40" s="190"/>
      <c r="L40" s="190"/>
      <c r="M40" s="208"/>
      <c r="N40" s="208"/>
      <c r="O40" s="35"/>
      <c r="P40" s="61"/>
      <c r="Q40" s="57"/>
    </row>
    <row r="41" spans="1:17" x14ac:dyDescent="0.2">
      <c r="A41" s="206"/>
      <c r="B41" s="206"/>
      <c r="C41" s="5" t="s">
        <v>164</v>
      </c>
      <c r="D41" s="208"/>
      <c r="E41" s="5">
        <v>60</v>
      </c>
      <c r="F41" s="5" t="s">
        <v>159</v>
      </c>
      <c r="G41" s="5">
        <v>40</v>
      </c>
      <c r="H41" s="5" t="s">
        <v>159</v>
      </c>
      <c r="I41" s="5">
        <v>49</v>
      </c>
      <c r="J41" s="12">
        <f t="shared" si="1"/>
        <v>0.1176</v>
      </c>
      <c r="K41" s="190"/>
      <c r="L41" s="190"/>
      <c r="M41" s="208"/>
      <c r="N41" s="208"/>
      <c r="O41" s="35"/>
      <c r="P41" s="61"/>
      <c r="Q41" s="57"/>
    </row>
    <row r="42" spans="1:17" x14ac:dyDescent="0.2">
      <c r="A42" s="206" t="s">
        <v>237</v>
      </c>
      <c r="B42" s="206" t="s">
        <v>648</v>
      </c>
      <c r="C42" s="5" t="s">
        <v>165</v>
      </c>
      <c r="D42" s="208">
        <v>20</v>
      </c>
      <c r="E42" s="5">
        <v>60</v>
      </c>
      <c r="F42" s="5" t="s">
        <v>159</v>
      </c>
      <c r="G42" s="5">
        <v>40</v>
      </c>
      <c r="H42" s="5" t="s">
        <v>159</v>
      </c>
      <c r="I42" s="5">
        <v>36</v>
      </c>
      <c r="J42" s="12">
        <f t="shared" si="1"/>
        <v>8.6400000000000005E-2</v>
      </c>
      <c r="K42" s="190">
        <v>11.5</v>
      </c>
      <c r="L42" s="190">
        <v>0.5</v>
      </c>
      <c r="M42" s="208">
        <v>6201930000</v>
      </c>
      <c r="N42" s="208" t="s">
        <v>6</v>
      </c>
      <c r="O42" s="35">
        <v>0.12</v>
      </c>
      <c r="P42" s="59">
        <v>0.12</v>
      </c>
      <c r="Q42" s="57">
        <v>0.03</v>
      </c>
    </row>
    <row r="43" spans="1:17" x14ac:dyDescent="0.2">
      <c r="A43" s="206"/>
      <c r="B43" s="206"/>
      <c r="C43" s="5" t="s">
        <v>162</v>
      </c>
      <c r="D43" s="208"/>
      <c r="E43" s="5">
        <v>60</v>
      </c>
      <c r="F43" s="5" t="s">
        <v>159</v>
      </c>
      <c r="G43" s="5">
        <v>40</v>
      </c>
      <c r="H43" s="5" t="s">
        <v>159</v>
      </c>
      <c r="I43" s="5">
        <v>38</v>
      </c>
      <c r="J43" s="12">
        <f t="shared" si="1"/>
        <v>9.1200000000000003E-2</v>
      </c>
      <c r="K43" s="190"/>
      <c r="L43" s="190"/>
      <c r="M43" s="208"/>
      <c r="N43" s="208"/>
      <c r="O43" s="35"/>
      <c r="P43" s="61"/>
      <c r="Q43" s="57"/>
    </row>
    <row r="44" spans="1:17" x14ac:dyDescent="0.2">
      <c r="A44" s="206" t="s">
        <v>238</v>
      </c>
      <c r="B44" s="206" t="s">
        <v>649</v>
      </c>
      <c r="C44" s="5" t="s">
        <v>165</v>
      </c>
      <c r="D44" s="208">
        <v>20</v>
      </c>
      <c r="E44" s="5">
        <v>60</v>
      </c>
      <c r="F44" s="5" t="s">
        <v>159</v>
      </c>
      <c r="G44" s="5">
        <v>40</v>
      </c>
      <c r="H44" s="5" t="s">
        <v>159</v>
      </c>
      <c r="I44" s="5">
        <v>29</v>
      </c>
      <c r="J44" s="12">
        <f t="shared" si="1"/>
        <v>6.9599999999999995E-2</v>
      </c>
      <c r="K44" s="12">
        <v>20</v>
      </c>
      <c r="L44" s="12">
        <v>0.9</v>
      </c>
      <c r="M44" s="208">
        <v>6210400000</v>
      </c>
      <c r="N44" s="208" t="s">
        <v>6</v>
      </c>
      <c r="O44" s="35">
        <v>0.12</v>
      </c>
      <c r="P44" s="59">
        <v>0.12</v>
      </c>
      <c r="Q44" s="57">
        <v>0.03</v>
      </c>
    </row>
    <row r="45" spans="1:17" x14ac:dyDescent="0.2">
      <c r="A45" s="206"/>
      <c r="B45" s="206"/>
      <c r="C45" s="5" t="s">
        <v>167</v>
      </c>
      <c r="D45" s="208"/>
      <c r="E45" s="5">
        <v>60</v>
      </c>
      <c r="F45" s="5" t="s">
        <v>159</v>
      </c>
      <c r="G45" s="5">
        <v>40</v>
      </c>
      <c r="H45" s="5" t="s">
        <v>159</v>
      </c>
      <c r="I45" s="5">
        <v>32</v>
      </c>
      <c r="J45" s="12">
        <f t="shared" si="1"/>
        <v>7.6799999999999993E-2</v>
      </c>
      <c r="K45" s="12">
        <v>20.5</v>
      </c>
      <c r="L45" s="12">
        <v>0.92500000000000004</v>
      </c>
      <c r="M45" s="208"/>
      <c r="N45" s="208"/>
      <c r="O45" s="35"/>
      <c r="P45" s="61"/>
      <c r="Q45" s="57"/>
    </row>
    <row r="46" spans="1:17" x14ac:dyDescent="0.2">
      <c r="A46" s="214" t="s">
        <v>239</v>
      </c>
      <c r="B46" s="214" t="s">
        <v>39</v>
      </c>
      <c r="C46" s="5" t="s">
        <v>163</v>
      </c>
      <c r="D46" s="209">
        <v>10</v>
      </c>
      <c r="E46" s="5">
        <v>60</v>
      </c>
      <c r="F46" s="5" t="s">
        <v>159</v>
      </c>
      <c r="G46" s="5">
        <v>40</v>
      </c>
      <c r="H46" s="5" t="s">
        <v>159</v>
      </c>
      <c r="I46" s="5">
        <v>42</v>
      </c>
      <c r="J46" s="12">
        <f t="shared" si="1"/>
        <v>0.1008</v>
      </c>
      <c r="K46" s="12">
        <v>19</v>
      </c>
      <c r="L46" s="12">
        <v>1.7</v>
      </c>
      <c r="M46" s="209">
        <v>6210400000</v>
      </c>
      <c r="N46" s="209" t="s">
        <v>6</v>
      </c>
      <c r="O46" s="35">
        <v>0.12</v>
      </c>
      <c r="P46" s="59">
        <v>0.12</v>
      </c>
      <c r="Q46" s="57">
        <v>0.03</v>
      </c>
    </row>
    <row r="47" spans="1:17" x14ac:dyDescent="0.2">
      <c r="A47" s="228"/>
      <c r="B47" s="228"/>
      <c r="C47" s="5" t="s">
        <v>162</v>
      </c>
      <c r="D47" s="210"/>
      <c r="E47" s="5">
        <v>60</v>
      </c>
      <c r="F47" s="5" t="s">
        <v>159</v>
      </c>
      <c r="G47" s="5">
        <v>40</v>
      </c>
      <c r="H47" s="5" t="s">
        <v>159</v>
      </c>
      <c r="I47" s="5">
        <v>44</v>
      </c>
      <c r="J47" s="12">
        <f t="shared" si="1"/>
        <v>0.1056</v>
      </c>
      <c r="K47" s="216">
        <v>19.5</v>
      </c>
      <c r="L47" s="216">
        <v>1.75</v>
      </c>
      <c r="M47" s="210"/>
      <c r="N47" s="210"/>
      <c r="O47" s="35"/>
      <c r="P47" s="61"/>
      <c r="Q47" s="57"/>
    </row>
    <row r="48" spans="1:17" x14ac:dyDescent="0.2">
      <c r="A48" s="228"/>
      <c r="B48" s="228"/>
      <c r="C48" s="5" t="s">
        <v>576</v>
      </c>
      <c r="D48" s="211"/>
      <c r="E48" s="5">
        <v>60</v>
      </c>
      <c r="F48" s="5" t="s">
        <v>159</v>
      </c>
      <c r="G48" s="5">
        <v>40</v>
      </c>
      <c r="H48" s="5" t="s">
        <v>159</v>
      </c>
      <c r="I48" s="5">
        <v>50</v>
      </c>
      <c r="J48" s="12">
        <f t="shared" si="1"/>
        <v>0.12</v>
      </c>
      <c r="K48" s="217"/>
      <c r="L48" s="217"/>
      <c r="M48" s="210"/>
      <c r="N48" s="210"/>
      <c r="O48" s="35"/>
      <c r="P48" s="61"/>
      <c r="Q48" s="57"/>
    </row>
    <row r="49" spans="1:17" x14ac:dyDescent="0.2">
      <c r="A49" s="215"/>
      <c r="B49" s="215"/>
      <c r="C49" s="5" t="s">
        <v>577</v>
      </c>
      <c r="D49" s="50">
        <v>5</v>
      </c>
      <c r="E49" s="5">
        <v>60</v>
      </c>
      <c r="F49" s="5" t="s">
        <v>159</v>
      </c>
      <c r="G49" s="5">
        <v>40</v>
      </c>
      <c r="H49" s="5" t="s">
        <v>159</v>
      </c>
      <c r="I49" s="5">
        <v>28</v>
      </c>
      <c r="J49" s="12">
        <f t="shared" si="1"/>
        <v>6.7199999999999996E-2</v>
      </c>
      <c r="K49" s="218"/>
      <c r="L49" s="218"/>
      <c r="M49" s="211"/>
      <c r="N49" s="211"/>
      <c r="O49" s="35"/>
      <c r="P49" s="61"/>
      <c r="Q49" s="57"/>
    </row>
    <row r="50" spans="1:17" x14ac:dyDescent="0.2">
      <c r="A50" s="206" t="s">
        <v>240</v>
      </c>
      <c r="B50" s="206" t="s">
        <v>650</v>
      </c>
      <c r="C50" s="5" t="s">
        <v>7</v>
      </c>
      <c r="D50" s="208">
        <v>10</v>
      </c>
      <c r="E50" s="5">
        <v>60</v>
      </c>
      <c r="F50" s="5" t="s">
        <v>159</v>
      </c>
      <c r="G50" s="5">
        <v>38</v>
      </c>
      <c r="H50" s="5" t="s">
        <v>159</v>
      </c>
      <c r="I50" s="5">
        <v>43</v>
      </c>
      <c r="J50" s="12">
        <f t="shared" si="1"/>
        <v>9.8040000000000002E-2</v>
      </c>
      <c r="K50" s="190">
        <v>15</v>
      </c>
      <c r="L50" s="190">
        <v>1.25</v>
      </c>
      <c r="M50" s="208">
        <v>6201930000</v>
      </c>
      <c r="N50" s="208" t="s">
        <v>108</v>
      </c>
      <c r="O50" s="35">
        <v>0.12</v>
      </c>
      <c r="P50" s="59">
        <v>0.12</v>
      </c>
      <c r="Q50" s="57">
        <v>0.03</v>
      </c>
    </row>
    <row r="51" spans="1:17" x14ac:dyDescent="0.2">
      <c r="A51" s="206"/>
      <c r="B51" s="206"/>
      <c r="C51" s="5" t="s">
        <v>158</v>
      </c>
      <c r="D51" s="208"/>
      <c r="E51" s="5">
        <v>60</v>
      </c>
      <c r="F51" s="5" t="s">
        <v>159</v>
      </c>
      <c r="G51" s="5">
        <v>38</v>
      </c>
      <c r="H51" s="5" t="s">
        <v>159</v>
      </c>
      <c r="I51" s="5">
        <v>48</v>
      </c>
      <c r="J51" s="12">
        <f t="shared" si="1"/>
        <v>0.10944</v>
      </c>
      <c r="K51" s="190"/>
      <c r="L51" s="190"/>
      <c r="M51" s="208"/>
      <c r="N51" s="208"/>
      <c r="O51" s="35"/>
      <c r="P51" s="61"/>
      <c r="Q51" s="57"/>
    </row>
    <row r="52" spans="1:17" x14ac:dyDescent="0.2">
      <c r="A52" s="206" t="s">
        <v>241</v>
      </c>
      <c r="B52" s="206" t="s">
        <v>35</v>
      </c>
      <c r="C52" s="5" t="s">
        <v>170</v>
      </c>
      <c r="D52" s="208">
        <v>10</v>
      </c>
      <c r="E52" s="5">
        <v>60</v>
      </c>
      <c r="F52" s="5" t="s">
        <v>159</v>
      </c>
      <c r="G52" s="5">
        <v>38</v>
      </c>
      <c r="H52" s="5" t="s">
        <v>159</v>
      </c>
      <c r="I52" s="5">
        <v>51</v>
      </c>
      <c r="J52" s="12">
        <f t="shared" si="1"/>
        <v>0.11627999999999999</v>
      </c>
      <c r="K52" s="190">
        <v>16.5</v>
      </c>
      <c r="L52" s="190">
        <v>1.4</v>
      </c>
      <c r="M52" s="208">
        <v>6210200000</v>
      </c>
      <c r="N52" s="208" t="s">
        <v>6</v>
      </c>
      <c r="O52" s="35">
        <v>0.12</v>
      </c>
      <c r="P52" s="59">
        <v>0.12</v>
      </c>
      <c r="Q52" s="57">
        <v>0.03</v>
      </c>
    </row>
    <row r="53" spans="1:17" x14ac:dyDescent="0.2">
      <c r="A53" s="206"/>
      <c r="B53" s="206"/>
      <c r="C53" s="5" t="s">
        <v>158</v>
      </c>
      <c r="D53" s="208"/>
      <c r="E53" s="5">
        <v>60</v>
      </c>
      <c r="F53" s="5" t="s">
        <v>159</v>
      </c>
      <c r="G53" s="5">
        <v>38</v>
      </c>
      <c r="H53" s="5" t="s">
        <v>159</v>
      </c>
      <c r="I53" s="5">
        <v>55</v>
      </c>
      <c r="J53" s="12">
        <f t="shared" si="1"/>
        <v>0.12540000000000001</v>
      </c>
      <c r="K53" s="190"/>
      <c r="L53" s="190"/>
      <c r="M53" s="208"/>
      <c r="N53" s="208"/>
      <c r="O53" s="35"/>
      <c r="P53" s="61"/>
      <c r="Q53" s="57"/>
    </row>
    <row r="54" spans="1:17" s="2" customFormat="1" x14ac:dyDescent="0.2">
      <c r="A54" s="8" t="s">
        <v>393</v>
      </c>
      <c r="B54" s="8" t="s">
        <v>651</v>
      </c>
      <c r="C54" s="9" t="s">
        <v>29</v>
      </c>
      <c r="D54" s="14">
        <v>8</v>
      </c>
      <c r="E54" s="14">
        <v>60</v>
      </c>
      <c r="F54" s="17" t="s">
        <v>159</v>
      </c>
      <c r="G54" s="14">
        <v>40</v>
      </c>
      <c r="H54" s="17" t="s">
        <v>159</v>
      </c>
      <c r="I54" s="14">
        <v>48</v>
      </c>
      <c r="J54" s="20">
        <f t="shared" si="1"/>
        <v>0.1152</v>
      </c>
      <c r="K54" s="16">
        <v>13.5</v>
      </c>
      <c r="L54" s="16">
        <v>1.325</v>
      </c>
      <c r="M54" s="14">
        <v>6201930000</v>
      </c>
      <c r="N54" s="14" t="s">
        <v>6</v>
      </c>
      <c r="O54" s="35"/>
      <c r="P54" s="59">
        <v>0.12</v>
      </c>
      <c r="Q54" s="57">
        <v>0.03</v>
      </c>
    </row>
    <row r="55" spans="1:17" x14ac:dyDescent="0.2">
      <c r="A55" s="206" t="s">
        <v>242</v>
      </c>
      <c r="B55" s="206" t="s">
        <v>30</v>
      </c>
      <c r="C55" s="5" t="s">
        <v>170</v>
      </c>
      <c r="D55" s="208">
        <v>10</v>
      </c>
      <c r="E55" s="5">
        <v>60</v>
      </c>
      <c r="F55" s="5" t="s">
        <v>159</v>
      </c>
      <c r="G55" s="5">
        <v>40</v>
      </c>
      <c r="H55" s="5" t="s">
        <v>159</v>
      </c>
      <c r="I55" s="5">
        <v>35</v>
      </c>
      <c r="J55" s="12">
        <f t="shared" si="1"/>
        <v>8.4000000000000005E-2</v>
      </c>
      <c r="K55" s="190">
        <v>16</v>
      </c>
      <c r="L55" s="190">
        <v>1.4</v>
      </c>
      <c r="M55" s="208">
        <v>6210400000</v>
      </c>
      <c r="N55" s="208" t="s">
        <v>6</v>
      </c>
      <c r="O55" s="35">
        <v>0.12</v>
      </c>
      <c r="P55" s="59">
        <v>0.12</v>
      </c>
      <c r="Q55" s="57"/>
    </row>
    <row r="56" spans="1:17" x14ac:dyDescent="0.2">
      <c r="A56" s="206"/>
      <c r="B56" s="206"/>
      <c r="C56" s="5" t="s">
        <v>158</v>
      </c>
      <c r="D56" s="208"/>
      <c r="E56" s="5">
        <v>60</v>
      </c>
      <c r="F56" s="5" t="s">
        <v>159</v>
      </c>
      <c r="G56" s="5">
        <v>40</v>
      </c>
      <c r="H56" s="5" t="s">
        <v>159</v>
      </c>
      <c r="I56" s="5">
        <v>38</v>
      </c>
      <c r="J56" s="12">
        <f t="shared" si="1"/>
        <v>9.1200000000000003E-2</v>
      </c>
      <c r="K56" s="190"/>
      <c r="L56" s="190"/>
      <c r="M56" s="208"/>
      <c r="N56" s="208"/>
      <c r="O56" s="35"/>
      <c r="P56" s="61"/>
      <c r="Q56" s="57"/>
    </row>
    <row r="57" spans="1:17" s="2" customFormat="1" x14ac:dyDescent="0.2">
      <c r="A57" s="8" t="s">
        <v>243</v>
      </c>
      <c r="B57" s="8" t="s">
        <v>652</v>
      </c>
      <c r="C57" s="9" t="s">
        <v>23</v>
      </c>
      <c r="D57" s="9">
        <v>20</v>
      </c>
      <c r="E57" s="9">
        <v>60</v>
      </c>
      <c r="F57" s="5" t="s">
        <v>159</v>
      </c>
      <c r="G57" s="9">
        <v>40</v>
      </c>
      <c r="H57" s="5" t="s">
        <v>159</v>
      </c>
      <c r="I57" s="9">
        <v>60</v>
      </c>
      <c r="J57" s="12">
        <f t="shared" si="1"/>
        <v>0.14399999999999999</v>
      </c>
      <c r="K57" s="7">
        <v>11.1</v>
      </c>
      <c r="L57" s="7">
        <f>K57/D57</f>
        <v>0.55499999999999994</v>
      </c>
      <c r="M57" s="9">
        <v>6104390090</v>
      </c>
      <c r="N57" s="9" t="s">
        <v>108</v>
      </c>
      <c r="O57" s="35">
        <v>0.12</v>
      </c>
      <c r="P57" s="59">
        <v>0.12</v>
      </c>
      <c r="Q57" s="57">
        <v>0.03</v>
      </c>
    </row>
    <row r="58" spans="1:17" s="2" customFormat="1" x14ac:dyDescent="0.2">
      <c r="A58" s="8" t="s">
        <v>244</v>
      </c>
      <c r="B58" s="8" t="s">
        <v>76</v>
      </c>
      <c r="C58" s="9" t="s">
        <v>23</v>
      </c>
      <c r="D58" s="9">
        <v>10</v>
      </c>
      <c r="E58" s="9">
        <v>60</v>
      </c>
      <c r="F58" s="5" t="s">
        <v>159</v>
      </c>
      <c r="G58" s="9">
        <v>40</v>
      </c>
      <c r="H58" s="5" t="s">
        <v>159</v>
      </c>
      <c r="I58" s="9">
        <v>28</v>
      </c>
      <c r="J58" s="12">
        <f t="shared" si="1"/>
        <v>6.7199999999999996E-2</v>
      </c>
      <c r="K58" s="7">
        <v>9</v>
      </c>
      <c r="L58" s="7">
        <f>K58/D58</f>
        <v>0.9</v>
      </c>
      <c r="M58" s="9">
        <v>6103390090</v>
      </c>
      <c r="N58" s="9" t="s">
        <v>108</v>
      </c>
      <c r="O58" s="35">
        <v>0.12</v>
      </c>
      <c r="P58" s="59">
        <v>0.12</v>
      </c>
      <c r="Q58" s="57">
        <v>0.03</v>
      </c>
    </row>
    <row r="59" spans="1:17" x14ac:dyDescent="0.2">
      <c r="A59" s="206" t="s">
        <v>245</v>
      </c>
      <c r="B59" s="206" t="s">
        <v>77</v>
      </c>
      <c r="C59" s="5" t="s">
        <v>93</v>
      </c>
      <c r="D59" s="208">
        <v>10</v>
      </c>
      <c r="E59" s="5">
        <v>60</v>
      </c>
      <c r="F59" s="5" t="s">
        <v>159</v>
      </c>
      <c r="G59" s="5">
        <v>40</v>
      </c>
      <c r="H59" s="5" t="s">
        <v>159</v>
      </c>
      <c r="I59" s="5">
        <v>20</v>
      </c>
      <c r="J59" s="12">
        <f t="shared" si="1"/>
        <v>4.8000000000000001E-2</v>
      </c>
      <c r="K59" s="190">
        <v>5.5</v>
      </c>
      <c r="L59" s="190">
        <v>0.45</v>
      </c>
      <c r="M59" s="208">
        <v>6201930000</v>
      </c>
      <c r="N59" s="208" t="s">
        <v>6</v>
      </c>
      <c r="O59" s="35">
        <v>0.12</v>
      </c>
      <c r="P59" s="59">
        <v>0.12</v>
      </c>
      <c r="Q59" s="57">
        <v>0.03</v>
      </c>
    </row>
    <row r="60" spans="1:17" x14ac:dyDescent="0.2">
      <c r="A60" s="206"/>
      <c r="B60" s="206"/>
      <c r="C60" s="5" t="s">
        <v>107</v>
      </c>
      <c r="D60" s="208"/>
      <c r="E60" s="5">
        <v>60</v>
      </c>
      <c r="F60" s="5" t="s">
        <v>159</v>
      </c>
      <c r="G60" s="5">
        <v>40</v>
      </c>
      <c r="H60" s="5" t="s">
        <v>159</v>
      </c>
      <c r="I60" s="5">
        <v>22</v>
      </c>
      <c r="J60" s="12">
        <f t="shared" si="1"/>
        <v>5.28E-2</v>
      </c>
      <c r="K60" s="190"/>
      <c r="L60" s="190"/>
      <c r="M60" s="208"/>
      <c r="N60" s="208"/>
      <c r="O60" s="35"/>
      <c r="P60" s="61"/>
      <c r="Q60" s="57"/>
    </row>
    <row r="61" spans="1:17" x14ac:dyDescent="0.2">
      <c r="A61" s="206" t="s">
        <v>246</v>
      </c>
      <c r="B61" s="206" t="s">
        <v>78</v>
      </c>
      <c r="C61" s="5" t="s">
        <v>172</v>
      </c>
      <c r="D61" s="208">
        <v>10</v>
      </c>
      <c r="E61" s="5">
        <v>60</v>
      </c>
      <c r="F61" s="5" t="s">
        <v>159</v>
      </c>
      <c r="G61" s="5">
        <v>40</v>
      </c>
      <c r="H61" s="5" t="s">
        <v>159</v>
      </c>
      <c r="I61" s="5">
        <v>37</v>
      </c>
      <c r="J61" s="12">
        <f t="shared" si="1"/>
        <v>8.8800000000000004E-2</v>
      </c>
      <c r="K61" s="190">
        <v>10</v>
      </c>
      <c r="L61" s="190">
        <v>0.88</v>
      </c>
      <c r="M61" s="208">
        <v>6201930000</v>
      </c>
      <c r="N61" s="208" t="s">
        <v>6</v>
      </c>
      <c r="O61" s="35">
        <v>0.12</v>
      </c>
      <c r="P61" s="59">
        <v>0.12</v>
      </c>
      <c r="Q61" s="57">
        <v>0.03</v>
      </c>
    </row>
    <row r="62" spans="1:17" x14ac:dyDescent="0.2">
      <c r="A62" s="206"/>
      <c r="B62" s="206"/>
      <c r="C62" s="5" t="s">
        <v>171</v>
      </c>
      <c r="D62" s="208"/>
      <c r="E62" s="5">
        <v>60</v>
      </c>
      <c r="F62" s="5" t="s">
        <v>159</v>
      </c>
      <c r="G62" s="5">
        <v>40</v>
      </c>
      <c r="H62" s="5" t="s">
        <v>159</v>
      </c>
      <c r="I62" s="5">
        <v>43</v>
      </c>
      <c r="J62" s="12">
        <f t="shared" ref="J62:J93" si="2">+E62*G62*I62/1000000</f>
        <v>0.1032</v>
      </c>
      <c r="K62" s="190"/>
      <c r="L62" s="190"/>
      <c r="M62" s="208"/>
      <c r="N62" s="208"/>
      <c r="O62" s="35"/>
      <c r="P62" s="61"/>
      <c r="Q62" s="57"/>
    </row>
    <row r="63" spans="1:17" x14ac:dyDescent="0.2">
      <c r="A63" s="206"/>
      <c r="B63" s="206"/>
      <c r="C63" s="5" t="s">
        <v>164</v>
      </c>
      <c r="D63" s="208"/>
      <c r="E63" s="5">
        <v>60</v>
      </c>
      <c r="F63" s="5" t="s">
        <v>159</v>
      </c>
      <c r="G63" s="5">
        <v>40</v>
      </c>
      <c r="H63" s="5" t="s">
        <v>159</v>
      </c>
      <c r="I63" s="5">
        <v>46</v>
      </c>
      <c r="J63" s="12">
        <f t="shared" si="2"/>
        <v>0.1104</v>
      </c>
      <c r="K63" s="190"/>
      <c r="L63" s="190"/>
      <c r="M63" s="208"/>
      <c r="N63" s="208"/>
      <c r="O63" s="35"/>
      <c r="P63" s="61"/>
      <c r="Q63" s="57"/>
    </row>
    <row r="64" spans="1:17" x14ac:dyDescent="0.2">
      <c r="A64" s="4" t="s">
        <v>247</v>
      </c>
      <c r="B64" s="4" t="s">
        <v>15</v>
      </c>
      <c r="C64" s="5" t="s">
        <v>16</v>
      </c>
      <c r="D64" s="5">
        <v>50</v>
      </c>
      <c r="E64" s="5">
        <v>60</v>
      </c>
      <c r="F64" s="5" t="s">
        <v>159</v>
      </c>
      <c r="G64" s="5">
        <v>40</v>
      </c>
      <c r="H64" s="5" t="s">
        <v>159</v>
      </c>
      <c r="I64" s="5">
        <v>21</v>
      </c>
      <c r="J64" s="12">
        <f t="shared" si="2"/>
        <v>5.04E-2</v>
      </c>
      <c r="K64" s="12">
        <v>21</v>
      </c>
      <c r="L64" s="12">
        <v>0.4</v>
      </c>
      <c r="M64" s="5">
        <v>6210400000</v>
      </c>
      <c r="N64" s="5" t="s">
        <v>6</v>
      </c>
      <c r="O64" s="35">
        <v>0.12</v>
      </c>
      <c r="P64" s="59">
        <v>0.12</v>
      </c>
      <c r="Q64" s="57">
        <v>0.03</v>
      </c>
    </row>
    <row r="65" spans="1:17" x14ac:dyDescent="0.2">
      <c r="A65" s="4" t="s">
        <v>248</v>
      </c>
      <c r="B65" s="4" t="s">
        <v>14</v>
      </c>
      <c r="C65" s="5" t="s">
        <v>47</v>
      </c>
      <c r="D65" s="5">
        <v>50</v>
      </c>
      <c r="E65" s="5">
        <v>60</v>
      </c>
      <c r="F65" s="5" t="s">
        <v>159</v>
      </c>
      <c r="G65" s="5">
        <v>40</v>
      </c>
      <c r="H65" s="5" t="s">
        <v>159</v>
      </c>
      <c r="I65" s="5">
        <v>22</v>
      </c>
      <c r="J65" s="12">
        <f t="shared" si="2"/>
        <v>5.28E-2</v>
      </c>
      <c r="K65" s="12">
        <v>22</v>
      </c>
      <c r="L65" s="12">
        <v>0.42</v>
      </c>
      <c r="M65" s="5">
        <v>6210400000</v>
      </c>
      <c r="N65" s="5" t="s">
        <v>6</v>
      </c>
      <c r="O65" s="35">
        <v>0.12</v>
      </c>
      <c r="P65" s="59">
        <v>0.12</v>
      </c>
      <c r="Q65" s="57">
        <v>0.03</v>
      </c>
    </row>
    <row r="66" spans="1:17" x14ac:dyDescent="0.2">
      <c r="A66" s="19" t="s">
        <v>966</v>
      </c>
      <c r="B66" s="19" t="s">
        <v>967</v>
      </c>
      <c r="C66" s="17" t="s">
        <v>41</v>
      </c>
      <c r="D66" s="17">
        <v>1000</v>
      </c>
      <c r="E66" s="17">
        <v>32</v>
      </c>
      <c r="F66" s="17" t="s">
        <v>159</v>
      </c>
      <c r="G66" s="17">
        <v>25</v>
      </c>
      <c r="H66" s="17" t="s">
        <v>159</v>
      </c>
      <c r="I66" s="17">
        <v>12</v>
      </c>
      <c r="J66" s="20">
        <f t="shared" si="2"/>
        <v>9.5999999999999992E-3</v>
      </c>
      <c r="K66" s="20">
        <v>1.67</v>
      </c>
      <c r="L66" s="20">
        <f>1.17/D66</f>
        <v>1.17E-3</v>
      </c>
      <c r="M66" s="17">
        <v>9607209090</v>
      </c>
      <c r="N66" s="17" t="s">
        <v>6</v>
      </c>
      <c r="O66" s="35"/>
      <c r="P66" s="59"/>
      <c r="Q66" s="57"/>
    </row>
    <row r="67" spans="1:17" x14ac:dyDescent="0.2">
      <c r="A67" s="206" t="s">
        <v>249</v>
      </c>
      <c r="B67" s="206" t="s">
        <v>17</v>
      </c>
      <c r="C67" s="5" t="s">
        <v>170</v>
      </c>
      <c r="D67" s="208">
        <v>20</v>
      </c>
      <c r="E67" s="5">
        <v>60</v>
      </c>
      <c r="F67" s="5" t="s">
        <v>159</v>
      </c>
      <c r="G67" s="5">
        <v>40</v>
      </c>
      <c r="H67" s="5" t="s">
        <v>159</v>
      </c>
      <c r="I67" s="5">
        <v>42</v>
      </c>
      <c r="J67" s="12">
        <f t="shared" si="2"/>
        <v>0.1008</v>
      </c>
      <c r="K67" s="190">
        <v>13.5</v>
      </c>
      <c r="L67" s="190">
        <v>0.6</v>
      </c>
      <c r="M67" s="208">
        <v>6201930000</v>
      </c>
      <c r="N67" s="208" t="s">
        <v>6</v>
      </c>
      <c r="O67" s="35">
        <v>0.12</v>
      </c>
      <c r="P67" s="59">
        <v>0.12</v>
      </c>
      <c r="Q67" s="57">
        <v>0.03</v>
      </c>
    </row>
    <row r="68" spans="1:17" x14ac:dyDescent="0.2">
      <c r="A68" s="206"/>
      <c r="B68" s="206"/>
      <c r="C68" s="5" t="s">
        <v>173</v>
      </c>
      <c r="D68" s="208"/>
      <c r="E68" s="5">
        <v>60</v>
      </c>
      <c r="F68" s="5" t="s">
        <v>159</v>
      </c>
      <c r="G68" s="5">
        <v>40</v>
      </c>
      <c r="H68" s="5" t="s">
        <v>159</v>
      </c>
      <c r="I68" s="5">
        <v>45</v>
      </c>
      <c r="J68" s="12">
        <f t="shared" si="2"/>
        <v>0.108</v>
      </c>
      <c r="K68" s="190"/>
      <c r="L68" s="190"/>
      <c r="M68" s="208"/>
      <c r="N68" s="208"/>
      <c r="O68" s="35"/>
      <c r="P68" s="61"/>
      <c r="Q68" s="57"/>
    </row>
    <row r="69" spans="1:17" x14ac:dyDescent="0.2">
      <c r="A69" s="206" t="s">
        <v>250</v>
      </c>
      <c r="B69" s="206" t="s">
        <v>89</v>
      </c>
      <c r="C69" s="5" t="s">
        <v>175</v>
      </c>
      <c r="D69" s="208">
        <v>20</v>
      </c>
      <c r="E69" s="5">
        <v>60</v>
      </c>
      <c r="F69" s="5" t="s">
        <v>159</v>
      </c>
      <c r="G69" s="5">
        <v>30</v>
      </c>
      <c r="H69" s="5" t="s">
        <v>159</v>
      </c>
      <c r="I69" s="5">
        <v>19</v>
      </c>
      <c r="J69" s="12">
        <f t="shared" si="2"/>
        <v>3.4200000000000001E-2</v>
      </c>
      <c r="K69" s="190">
        <v>21</v>
      </c>
      <c r="L69" s="190">
        <v>1</v>
      </c>
      <c r="M69" s="208">
        <v>6210400000</v>
      </c>
      <c r="N69" s="208" t="s">
        <v>6</v>
      </c>
      <c r="O69" s="35">
        <v>0.12</v>
      </c>
      <c r="P69" s="59">
        <v>0.12</v>
      </c>
      <c r="Q69" s="57">
        <v>0.03</v>
      </c>
    </row>
    <row r="70" spans="1:17" x14ac:dyDescent="0.2">
      <c r="A70" s="206"/>
      <c r="B70" s="206"/>
      <c r="C70" s="5" t="s">
        <v>174</v>
      </c>
      <c r="D70" s="208"/>
      <c r="E70" s="5">
        <v>60</v>
      </c>
      <c r="F70" s="5" t="s">
        <v>159</v>
      </c>
      <c r="G70" s="5">
        <v>30</v>
      </c>
      <c r="H70" s="5" t="s">
        <v>159</v>
      </c>
      <c r="I70" s="5">
        <v>21</v>
      </c>
      <c r="J70" s="12">
        <f t="shared" si="2"/>
        <v>3.78E-2</v>
      </c>
      <c r="K70" s="190"/>
      <c r="L70" s="190"/>
      <c r="M70" s="208"/>
      <c r="N70" s="208"/>
      <c r="O70" s="35"/>
      <c r="P70" s="61"/>
      <c r="Q70" s="57"/>
    </row>
    <row r="71" spans="1:17" x14ac:dyDescent="0.2">
      <c r="A71" s="4" t="s">
        <v>251</v>
      </c>
      <c r="B71" s="4" t="s">
        <v>653</v>
      </c>
      <c r="C71" s="5" t="s">
        <v>47</v>
      </c>
      <c r="D71" s="5">
        <v>20</v>
      </c>
      <c r="E71" s="5">
        <v>60</v>
      </c>
      <c r="F71" s="5" t="s">
        <v>159</v>
      </c>
      <c r="G71" s="5">
        <v>30</v>
      </c>
      <c r="H71" s="5" t="s">
        <v>159</v>
      </c>
      <c r="I71" s="5">
        <v>29</v>
      </c>
      <c r="J71" s="12">
        <f t="shared" si="2"/>
        <v>5.2200000000000003E-2</v>
      </c>
      <c r="K71" s="12">
        <v>21</v>
      </c>
      <c r="L71" s="12">
        <v>1</v>
      </c>
      <c r="M71" s="5">
        <v>6210400000</v>
      </c>
      <c r="N71" s="5" t="s">
        <v>6</v>
      </c>
      <c r="O71" s="35">
        <v>0.12</v>
      </c>
      <c r="P71" s="59">
        <v>0.12</v>
      </c>
      <c r="Q71" s="57">
        <v>0.03</v>
      </c>
    </row>
    <row r="72" spans="1:17" x14ac:dyDescent="0.2">
      <c r="A72" s="206" t="s">
        <v>252</v>
      </c>
      <c r="B72" s="206" t="s">
        <v>654</v>
      </c>
      <c r="C72" s="5" t="s">
        <v>163</v>
      </c>
      <c r="D72" s="208">
        <v>10</v>
      </c>
      <c r="E72" s="5">
        <v>40</v>
      </c>
      <c r="F72" s="5" t="s">
        <v>159</v>
      </c>
      <c r="G72" s="5">
        <v>30</v>
      </c>
      <c r="H72" s="5" t="s">
        <v>159</v>
      </c>
      <c r="I72" s="5">
        <v>20</v>
      </c>
      <c r="J72" s="12">
        <f t="shared" si="2"/>
        <v>2.4E-2</v>
      </c>
      <c r="K72" s="190">
        <v>8.5</v>
      </c>
      <c r="L72" s="190">
        <v>0.7</v>
      </c>
      <c r="M72" s="208">
        <v>6210400000</v>
      </c>
      <c r="N72" s="208" t="s">
        <v>6</v>
      </c>
      <c r="O72" s="35">
        <v>0.12</v>
      </c>
      <c r="P72" s="59">
        <v>0.12</v>
      </c>
      <c r="Q72" s="57">
        <v>0.03</v>
      </c>
    </row>
    <row r="73" spans="1:17" x14ac:dyDescent="0.2">
      <c r="A73" s="206"/>
      <c r="B73" s="206"/>
      <c r="C73" s="5" t="s">
        <v>167</v>
      </c>
      <c r="D73" s="208"/>
      <c r="E73" s="5">
        <v>40</v>
      </c>
      <c r="F73" s="5" t="s">
        <v>159</v>
      </c>
      <c r="G73" s="5">
        <v>30</v>
      </c>
      <c r="H73" s="5" t="s">
        <v>159</v>
      </c>
      <c r="I73" s="5">
        <v>22</v>
      </c>
      <c r="J73" s="12">
        <f t="shared" si="2"/>
        <v>2.64E-2</v>
      </c>
      <c r="K73" s="190"/>
      <c r="L73" s="190"/>
      <c r="M73" s="208"/>
      <c r="N73" s="208"/>
      <c r="O73" s="35"/>
      <c r="P73" s="61"/>
      <c r="Q73" s="57"/>
    </row>
    <row r="74" spans="1:17" x14ac:dyDescent="0.2">
      <c r="A74" s="206" t="s">
        <v>253</v>
      </c>
      <c r="B74" s="206" t="s">
        <v>90</v>
      </c>
      <c r="C74" s="5" t="s">
        <v>176</v>
      </c>
      <c r="D74" s="208">
        <v>10</v>
      </c>
      <c r="E74" s="5">
        <v>60</v>
      </c>
      <c r="F74" s="5" t="s">
        <v>159</v>
      </c>
      <c r="G74" s="5">
        <v>40</v>
      </c>
      <c r="H74" s="5" t="s">
        <v>159</v>
      </c>
      <c r="I74" s="5">
        <v>35</v>
      </c>
      <c r="J74" s="12">
        <f t="shared" si="2"/>
        <v>8.4000000000000005E-2</v>
      </c>
      <c r="K74" s="190">
        <v>17</v>
      </c>
      <c r="L74" s="190">
        <v>1.6</v>
      </c>
      <c r="M74" s="208">
        <v>6210400000</v>
      </c>
      <c r="N74" s="208" t="s">
        <v>6</v>
      </c>
      <c r="O74" s="35">
        <v>0.12</v>
      </c>
      <c r="P74" s="59">
        <v>0.12</v>
      </c>
      <c r="Q74" s="57">
        <v>0.03</v>
      </c>
    </row>
    <row r="75" spans="1:17" x14ac:dyDescent="0.2">
      <c r="A75" s="206"/>
      <c r="B75" s="206"/>
      <c r="C75" s="5" t="s">
        <v>174</v>
      </c>
      <c r="D75" s="208"/>
      <c r="E75" s="5">
        <v>60</v>
      </c>
      <c r="F75" s="5" t="s">
        <v>159</v>
      </c>
      <c r="G75" s="5">
        <v>40</v>
      </c>
      <c r="H75" s="5" t="s">
        <v>159</v>
      </c>
      <c r="I75" s="5">
        <v>38</v>
      </c>
      <c r="J75" s="12">
        <f t="shared" si="2"/>
        <v>9.1200000000000003E-2</v>
      </c>
      <c r="K75" s="190"/>
      <c r="L75" s="190"/>
      <c r="M75" s="208"/>
      <c r="N75" s="208"/>
      <c r="O75" s="35"/>
      <c r="P75" s="61"/>
      <c r="Q75" s="57"/>
    </row>
    <row r="76" spans="1:17" x14ac:dyDescent="0.2">
      <c r="A76" s="206"/>
      <c r="B76" s="206"/>
      <c r="C76" s="5" t="s">
        <v>164</v>
      </c>
      <c r="D76" s="208"/>
      <c r="E76" s="5">
        <v>60</v>
      </c>
      <c r="F76" s="5" t="s">
        <v>159</v>
      </c>
      <c r="G76" s="5">
        <v>40</v>
      </c>
      <c r="H76" s="5" t="s">
        <v>159</v>
      </c>
      <c r="I76" s="5">
        <v>42</v>
      </c>
      <c r="J76" s="12">
        <f t="shared" si="2"/>
        <v>0.1008</v>
      </c>
      <c r="K76" s="190"/>
      <c r="L76" s="190"/>
      <c r="M76" s="208"/>
      <c r="N76" s="208"/>
      <c r="O76" s="35"/>
      <c r="P76" s="61"/>
      <c r="Q76" s="57"/>
    </row>
    <row r="77" spans="1:17" x14ac:dyDescent="0.2">
      <c r="A77" s="4" t="s">
        <v>254</v>
      </c>
      <c r="B77" s="4" t="s">
        <v>18</v>
      </c>
      <c r="C77" s="5" t="s">
        <v>20</v>
      </c>
      <c r="D77" s="5">
        <v>10</v>
      </c>
      <c r="E77" s="5">
        <v>58</v>
      </c>
      <c r="F77" s="5" t="s">
        <v>159</v>
      </c>
      <c r="G77" s="5">
        <v>38</v>
      </c>
      <c r="H77" s="5" t="s">
        <v>159</v>
      </c>
      <c r="I77" s="5">
        <v>40</v>
      </c>
      <c r="J77" s="12">
        <f t="shared" si="2"/>
        <v>8.8160000000000002E-2</v>
      </c>
      <c r="K77" s="12">
        <v>19</v>
      </c>
      <c r="L77" s="12">
        <v>1.7</v>
      </c>
      <c r="M77" s="5">
        <v>6210200000</v>
      </c>
      <c r="N77" s="5" t="s">
        <v>6</v>
      </c>
      <c r="O77" s="35">
        <v>0.12</v>
      </c>
      <c r="P77" s="59">
        <v>0.12</v>
      </c>
      <c r="Q77" s="57">
        <v>0.03</v>
      </c>
    </row>
    <row r="78" spans="1:17" x14ac:dyDescent="0.2">
      <c r="A78" s="4" t="s">
        <v>50</v>
      </c>
      <c r="B78" s="4" t="s">
        <v>609</v>
      </c>
      <c r="C78" s="5" t="s">
        <v>9</v>
      </c>
      <c r="D78" s="5">
        <v>100</v>
      </c>
      <c r="E78" s="5">
        <v>48</v>
      </c>
      <c r="F78" s="5" t="s">
        <v>159</v>
      </c>
      <c r="G78" s="5">
        <v>40</v>
      </c>
      <c r="H78" s="5" t="s">
        <v>159</v>
      </c>
      <c r="I78" s="5">
        <v>53</v>
      </c>
      <c r="J78" s="12">
        <f t="shared" si="2"/>
        <v>0.10176</v>
      </c>
      <c r="K78" s="12">
        <v>11</v>
      </c>
      <c r="L78" s="12">
        <v>0.1</v>
      </c>
      <c r="M78" s="17">
        <v>6117100000</v>
      </c>
      <c r="N78" s="17" t="s">
        <v>6</v>
      </c>
      <c r="O78" s="3"/>
      <c r="P78" s="59">
        <v>0.12</v>
      </c>
      <c r="Q78" s="57">
        <v>0.01</v>
      </c>
    </row>
    <row r="79" spans="1:17" x14ac:dyDescent="0.2">
      <c r="A79" s="4" t="s">
        <v>42</v>
      </c>
      <c r="B79" s="4" t="s">
        <v>43</v>
      </c>
      <c r="C79" s="5" t="s">
        <v>23</v>
      </c>
      <c r="D79" s="5">
        <v>10</v>
      </c>
      <c r="E79" s="5">
        <v>42</v>
      </c>
      <c r="F79" s="5" t="s">
        <v>159</v>
      </c>
      <c r="G79" s="5">
        <v>33</v>
      </c>
      <c r="H79" s="5" t="s">
        <v>159</v>
      </c>
      <c r="I79" s="5">
        <v>24</v>
      </c>
      <c r="J79" s="12">
        <f t="shared" si="2"/>
        <v>3.3264000000000002E-2</v>
      </c>
      <c r="K79" s="12">
        <v>8</v>
      </c>
      <c r="L79" s="12">
        <v>0.7</v>
      </c>
      <c r="M79" s="5">
        <v>6210400000</v>
      </c>
      <c r="N79" s="5" t="s">
        <v>6</v>
      </c>
      <c r="O79" s="35">
        <v>0.12</v>
      </c>
      <c r="P79" s="59">
        <v>0.12</v>
      </c>
      <c r="Q79" s="57">
        <v>0.03</v>
      </c>
    </row>
    <row r="80" spans="1:17" x14ac:dyDescent="0.2">
      <c r="A80" s="4" t="s">
        <v>51</v>
      </c>
      <c r="B80" s="4" t="s">
        <v>19</v>
      </c>
      <c r="C80" s="5" t="s">
        <v>47</v>
      </c>
      <c r="D80" s="5">
        <v>10</v>
      </c>
      <c r="E80" s="5">
        <v>60</v>
      </c>
      <c r="F80" s="5" t="s">
        <v>159</v>
      </c>
      <c r="G80" s="5">
        <v>40</v>
      </c>
      <c r="H80" s="5" t="s">
        <v>159</v>
      </c>
      <c r="I80" s="5">
        <v>45</v>
      </c>
      <c r="J80" s="12">
        <f t="shared" si="2"/>
        <v>0.108</v>
      </c>
      <c r="K80" s="12">
        <v>8</v>
      </c>
      <c r="L80" s="12">
        <v>0.6</v>
      </c>
      <c r="M80" s="5">
        <v>6210400000</v>
      </c>
      <c r="N80" s="5" t="s">
        <v>6</v>
      </c>
      <c r="O80" s="35">
        <v>0.12</v>
      </c>
      <c r="P80" s="59">
        <v>0.12</v>
      </c>
      <c r="Q80" s="57">
        <v>0.03</v>
      </c>
    </row>
    <row r="81" spans="1:17" x14ac:dyDescent="0.2">
      <c r="A81" s="206" t="s">
        <v>52</v>
      </c>
      <c r="B81" s="206" t="s">
        <v>91</v>
      </c>
      <c r="C81" s="5" t="s">
        <v>178</v>
      </c>
      <c r="D81" s="208">
        <v>10</v>
      </c>
      <c r="E81" s="5">
        <v>60</v>
      </c>
      <c r="F81" s="5" t="s">
        <v>159</v>
      </c>
      <c r="G81" s="5">
        <v>40</v>
      </c>
      <c r="H81" s="5" t="s">
        <v>159</v>
      </c>
      <c r="I81" s="5">
        <v>29</v>
      </c>
      <c r="J81" s="12">
        <f t="shared" si="2"/>
        <v>6.9599999999999995E-2</v>
      </c>
      <c r="K81" s="190">
        <v>8.5</v>
      </c>
      <c r="L81" s="190">
        <v>0.75</v>
      </c>
      <c r="M81" s="208">
        <v>6103390090</v>
      </c>
      <c r="N81" s="208" t="s">
        <v>108</v>
      </c>
      <c r="O81" s="35">
        <v>0.12</v>
      </c>
      <c r="P81" s="59">
        <v>0.12</v>
      </c>
      <c r="Q81" s="57">
        <v>0.03</v>
      </c>
    </row>
    <row r="82" spans="1:17" x14ac:dyDescent="0.2">
      <c r="A82" s="206"/>
      <c r="B82" s="206"/>
      <c r="C82" s="5" t="s">
        <v>158</v>
      </c>
      <c r="D82" s="208"/>
      <c r="E82" s="5">
        <v>60</v>
      </c>
      <c r="F82" s="5" t="s">
        <v>159</v>
      </c>
      <c r="G82" s="5">
        <v>40</v>
      </c>
      <c r="H82" s="5" t="s">
        <v>159</v>
      </c>
      <c r="I82" s="5">
        <v>31</v>
      </c>
      <c r="J82" s="12">
        <f t="shared" si="2"/>
        <v>7.4399999999999994E-2</v>
      </c>
      <c r="K82" s="190"/>
      <c r="L82" s="190"/>
      <c r="M82" s="208"/>
      <c r="N82" s="208"/>
      <c r="O82" s="35"/>
      <c r="P82" s="61"/>
      <c r="Q82" s="57"/>
    </row>
    <row r="83" spans="1:17" x14ac:dyDescent="0.2">
      <c r="A83" s="225" t="s">
        <v>53</v>
      </c>
      <c r="B83" s="225" t="s">
        <v>21</v>
      </c>
      <c r="C83" s="5" t="s">
        <v>179</v>
      </c>
      <c r="D83" s="220">
        <v>10</v>
      </c>
      <c r="E83" s="5">
        <v>60</v>
      </c>
      <c r="F83" s="5" t="s">
        <v>159</v>
      </c>
      <c r="G83" s="5">
        <v>40</v>
      </c>
      <c r="H83" s="5" t="s">
        <v>159</v>
      </c>
      <c r="I83" s="5">
        <v>40</v>
      </c>
      <c r="J83" s="12">
        <f t="shared" si="2"/>
        <v>9.6000000000000002E-2</v>
      </c>
      <c r="K83" s="221">
        <v>15.3</v>
      </c>
      <c r="L83" s="221">
        <v>1.36</v>
      </c>
      <c r="M83" s="220">
        <v>6201930000</v>
      </c>
      <c r="N83" s="220" t="s">
        <v>6</v>
      </c>
      <c r="O83" s="35">
        <v>0.12</v>
      </c>
      <c r="P83" s="59">
        <v>0.12</v>
      </c>
      <c r="Q83" s="57">
        <v>0.03</v>
      </c>
    </row>
    <row r="84" spans="1:17" x14ac:dyDescent="0.2">
      <c r="A84" s="225"/>
      <c r="B84" s="225"/>
      <c r="C84" s="5" t="s">
        <v>158</v>
      </c>
      <c r="D84" s="220"/>
      <c r="E84" s="5">
        <v>60</v>
      </c>
      <c r="F84" s="5" t="s">
        <v>159</v>
      </c>
      <c r="G84" s="5">
        <v>40</v>
      </c>
      <c r="H84" s="5" t="s">
        <v>159</v>
      </c>
      <c r="I84" s="5">
        <v>42</v>
      </c>
      <c r="J84" s="12">
        <f t="shared" si="2"/>
        <v>0.1008</v>
      </c>
      <c r="K84" s="221"/>
      <c r="L84" s="221"/>
      <c r="M84" s="220"/>
      <c r="N84" s="220"/>
      <c r="O84" s="35"/>
      <c r="P84" s="61"/>
      <c r="Q84" s="57"/>
    </row>
    <row r="85" spans="1:17" x14ac:dyDescent="0.2">
      <c r="A85" s="206" t="s">
        <v>84</v>
      </c>
      <c r="B85" s="206" t="s">
        <v>680</v>
      </c>
      <c r="C85" s="5" t="s">
        <v>181</v>
      </c>
      <c r="D85" s="208">
        <v>10</v>
      </c>
      <c r="E85" s="5">
        <v>60</v>
      </c>
      <c r="F85" s="5" t="s">
        <v>159</v>
      </c>
      <c r="G85" s="5">
        <v>40</v>
      </c>
      <c r="H85" s="5" t="s">
        <v>159</v>
      </c>
      <c r="I85" s="5">
        <v>18</v>
      </c>
      <c r="J85" s="12">
        <f t="shared" si="2"/>
        <v>4.3200000000000002E-2</v>
      </c>
      <c r="K85" s="190">
        <v>8</v>
      </c>
      <c r="L85" s="190">
        <v>0.7</v>
      </c>
      <c r="M85" s="208">
        <v>6210400000</v>
      </c>
      <c r="N85" s="208" t="s">
        <v>6</v>
      </c>
      <c r="O85" s="35">
        <v>0.12</v>
      </c>
      <c r="P85" s="59">
        <v>0.12</v>
      </c>
      <c r="Q85" s="57">
        <v>0.03</v>
      </c>
    </row>
    <row r="86" spans="1:17" x14ac:dyDescent="0.2">
      <c r="A86" s="206"/>
      <c r="B86" s="206"/>
      <c r="C86" s="5" t="s">
        <v>158</v>
      </c>
      <c r="D86" s="208"/>
      <c r="E86" s="5">
        <v>60</v>
      </c>
      <c r="F86" s="5" t="s">
        <v>159</v>
      </c>
      <c r="G86" s="5">
        <v>40</v>
      </c>
      <c r="H86" s="5" t="s">
        <v>159</v>
      </c>
      <c r="I86" s="5">
        <v>20</v>
      </c>
      <c r="J86" s="12">
        <f t="shared" si="2"/>
        <v>4.8000000000000001E-2</v>
      </c>
      <c r="K86" s="190"/>
      <c r="L86" s="190"/>
      <c r="M86" s="208"/>
      <c r="N86" s="208"/>
      <c r="O86" s="35"/>
      <c r="P86" s="61"/>
      <c r="Q86" s="57"/>
    </row>
    <row r="87" spans="1:17" x14ac:dyDescent="0.2">
      <c r="A87" s="206" t="s">
        <v>83</v>
      </c>
      <c r="B87" s="206" t="s">
        <v>655</v>
      </c>
      <c r="C87" s="5" t="s">
        <v>180</v>
      </c>
      <c r="D87" s="208">
        <v>10</v>
      </c>
      <c r="E87" s="5">
        <v>60</v>
      </c>
      <c r="F87" s="5" t="s">
        <v>159</v>
      </c>
      <c r="G87" s="5">
        <v>40</v>
      </c>
      <c r="H87" s="5" t="s">
        <v>159</v>
      </c>
      <c r="I87" s="5">
        <v>18</v>
      </c>
      <c r="J87" s="12">
        <f t="shared" si="2"/>
        <v>4.3200000000000002E-2</v>
      </c>
      <c r="K87" s="190">
        <v>8</v>
      </c>
      <c r="L87" s="190">
        <v>0.7</v>
      </c>
      <c r="M87" s="208">
        <v>6210500000</v>
      </c>
      <c r="N87" s="208" t="s">
        <v>6</v>
      </c>
      <c r="O87" s="35">
        <v>0.12</v>
      </c>
      <c r="P87" s="59">
        <v>0.12</v>
      </c>
      <c r="Q87" s="57">
        <v>0.03</v>
      </c>
    </row>
    <row r="88" spans="1:17" x14ac:dyDescent="0.2">
      <c r="A88" s="206"/>
      <c r="B88" s="206"/>
      <c r="C88" s="5" t="s">
        <v>171</v>
      </c>
      <c r="D88" s="208"/>
      <c r="E88" s="5">
        <v>60</v>
      </c>
      <c r="F88" s="5" t="s">
        <v>159</v>
      </c>
      <c r="G88" s="5">
        <v>40</v>
      </c>
      <c r="H88" s="5" t="s">
        <v>159</v>
      </c>
      <c r="I88" s="5">
        <v>20</v>
      </c>
      <c r="J88" s="12">
        <f t="shared" si="2"/>
        <v>4.8000000000000001E-2</v>
      </c>
      <c r="K88" s="190"/>
      <c r="L88" s="190"/>
      <c r="M88" s="208"/>
      <c r="N88" s="208"/>
      <c r="O88" s="35"/>
      <c r="P88" s="61"/>
      <c r="Q88" s="57"/>
    </row>
    <row r="89" spans="1:17" x14ac:dyDescent="0.2">
      <c r="A89" s="206" t="s">
        <v>394</v>
      </c>
      <c r="B89" s="206" t="s">
        <v>1012</v>
      </c>
      <c r="C89" s="5" t="s">
        <v>169</v>
      </c>
      <c r="D89" s="195">
        <v>25</v>
      </c>
      <c r="E89" s="17">
        <v>60</v>
      </c>
      <c r="F89" s="17" t="s">
        <v>159</v>
      </c>
      <c r="G89" s="17">
        <v>36</v>
      </c>
      <c r="H89" s="17" t="s">
        <v>159</v>
      </c>
      <c r="I89" s="17">
        <v>40</v>
      </c>
      <c r="J89" s="20">
        <f t="shared" si="2"/>
        <v>8.6400000000000005E-2</v>
      </c>
      <c r="K89" s="196">
        <v>11.25</v>
      </c>
      <c r="L89" s="196">
        <v>0.308</v>
      </c>
      <c r="M89" s="195">
        <v>6103390090</v>
      </c>
      <c r="N89" s="208" t="s">
        <v>108</v>
      </c>
      <c r="O89" s="35"/>
      <c r="P89" s="59">
        <v>0.12</v>
      </c>
      <c r="Q89" s="57">
        <v>0.03</v>
      </c>
    </row>
    <row r="90" spans="1:17" x14ac:dyDescent="0.2">
      <c r="A90" s="206"/>
      <c r="B90" s="206"/>
      <c r="C90" s="5" t="s">
        <v>158</v>
      </c>
      <c r="D90" s="195"/>
      <c r="E90" s="17">
        <v>60</v>
      </c>
      <c r="F90" s="17" t="s">
        <v>159</v>
      </c>
      <c r="G90" s="17">
        <v>42</v>
      </c>
      <c r="H90" s="17" t="s">
        <v>159</v>
      </c>
      <c r="I90" s="17">
        <v>40</v>
      </c>
      <c r="J90" s="20">
        <f t="shared" si="2"/>
        <v>0.1008</v>
      </c>
      <c r="K90" s="196"/>
      <c r="L90" s="196"/>
      <c r="M90" s="195"/>
      <c r="N90" s="208"/>
      <c r="O90" s="35"/>
      <c r="P90" s="61"/>
      <c r="Q90" s="57"/>
    </row>
    <row r="91" spans="1:17" x14ac:dyDescent="0.2">
      <c r="A91" s="4" t="s">
        <v>54</v>
      </c>
      <c r="B91" s="4" t="s">
        <v>22</v>
      </c>
      <c r="C91" s="5" t="s">
        <v>47</v>
      </c>
      <c r="D91" s="5">
        <v>20</v>
      </c>
      <c r="E91" s="5">
        <v>60</v>
      </c>
      <c r="F91" s="5" t="s">
        <v>159</v>
      </c>
      <c r="G91" s="5">
        <v>40</v>
      </c>
      <c r="H91" s="5" t="s">
        <v>159</v>
      </c>
      <c r="I91" s="5">
        <v>53</v>
      </c>
      <c r="J91" s="12">
        <f t="shared" si="2"/>
        <v>0.12720000000000001</v>
      </c>
      <c r="K91" s="12">
        <v>15</v>
      </c>
      <c r="L91" s="12">
        <v>0.67500000000000004</v>
      </c>
      <c r="M91" s="5">
        <v>6201930000</v>
      </c>
      <c r="N91" s="5" t="s">
        <v>6</v>
      </c>
      <c r="O91" s="35">
        <v>0.12</v>
      </c>
      <c r="P91" s="59">
        <v>0.12</v>
      </c>
      <c r="Q91" s="57">
        <v>0.03</v>
      </c>
    </row>
    <row r="92" spans="1:17" x14ac:dyDescent="0.2">
      <c r="A92" s="19" t="s">
        <v>105</v>
      </c>
      <c r="B92" s="19" t="s">
        <v>977</v>
      </c>
      <c r="C92" s="17" t="s">
        <v>93</v>
      </c>
      <c r="D92" s="17">
        <v>25</v>
      </c>
      <c r="E92" s="17">
        <v>45</v>
      </c>
      <c r="F92" s="5" t="s">
        <v>159</v>
      </c>
      <c r="G92" s="17">
        <v>27</v>
      </c>
      <c r="H92" s="5" t="s">
        <v>159</v>
      </c>
      <c r="I92" s="17">
        <v>40</v>
      </c>
      <c r="J92" s="12">
        <f t="shared" si="2"/>
        <v>4.8599999999999997E-2</v>
      </c>
      <c r="K92" s="20">
        <v>7</v>
      </c>
      <c r="L92" s="20">
        <v>0.2</v>
      </c>
      <c r="M92" s="23">
        <v>6103390090</v>
      </c>
      <c r="N92" s="5" t="s">
        <v>108</v>
      </c>
      <c r="O92" s="35">
        <v>0.12</v>
      </c>
      <c r="P92" s="59">
        <v>0.12</v>
      </c>
      <c r="Q92" s="57">
        <v>0.03</v>
      </c>
    </row>
    <row r="93" spans="1:17" x14ac:dyDescent="0.2">
      <c r="A93" s="19" t="s">
        <v>106</v>
      </c>
      <c r="B93" s="19" t="s">
        <v>978</v>
      </c>
      <c r="C93" s="17" t="s">
        <v>107</v>
      </c>
      <c r="D93" s="17">
        <v>25</v>
      </c>
      <c r="E93" s="17">
        <v>50</v>
      </c>
      <c r="F93" s="5" t="s">
        <v>159</v>
      </c>
      <c r="G93" s="17">
        <v>30</v>
      </c>
      <c r="H93" s="5" t="s">
        <v>159</v>
      </c>
      <c r="I93" s="17">
        <v>40</v>
      </c>
      <c r="J93" s="12">
        <f t="shared" si="2"/>
        <v>0.06</v>
      </c>
      <c r="K93" s="20">
        <v>8</v>
      </c>
      <c r="L93" s="20">
        <v>0.24</v>
      </c>
      <c r="M93" s="105">
        <v>6103390090</v>
      </c>
      <c r="N93" s="5" t="s">
        <v>108</v>
      </c>
      <c r="O93" s="35"/>
      <c r="P93" s="59">
        <v>0.12</v>
      </c>
      <c r="Q93" s="57">
        <v>0.03</v>
      </c>
    </row>
    <row r="94" spans="1:17" x14ac:dyDescent="0.2">
      <c r="A94" s="19" t="s">
        <v>92</v>
      </c>
      <c r="B94" s="19" t="s">
        <v>979</v>
      </c>
      <c r="C94" s="17" t="s">
        <v>20</v>
      </c>
      <c r="D94" s="17">
        <v>25</v>
      </c>
      <c r="E94" s="17">
        <v>60</v>
      </c>
      <c r="F94" s="5" t="s">
        <v>159</v>
      </c>
      <c r="G94" s="17">
        <v>40</v>
      </c>
      <c r="H94" s="5" t="s">
        <v>159</v>
      </c>
      <c r="I94" s="17">
        <v>40</v>
      </c>
      <c r="J94" s="12">
        <f t="shared" ref="J94:J125" si="3">+E94*G94*I94/1000000</f>
        <v>9.6000000000000002E-2</v>
      </c>
      <c r="K94" s="20">
        <v>9</v>
      </c>
      <c r="L94" s="20">
        <v>0.28000000000000003</v>
      </c>
      <c r="M94" s="105">
        <v>6103390090</v>
      </c>
      <c r="N94" s="5" t="s">
        <v>108</v>
      </c>
      <c r="O94" s="35">
        <v>0.12</v>
      </c>
      <c r="P94" s="59">
        <v>0.12</v>
      </c>
      <c r="Q94" s="57">
        <v>0.03</v>
      </c>
    </row>
    <row r="95" spans="1:17" x14ac:dyDescent="0.2">
      <c r="A95" s="4" t="s">
        <v>822</v>
      </c>
      <c r="B95" s="4" t="s">
        <v>657</v>
      </c>
      <c r="C95" s="5" t="s">
        <v>23</v>
      </c>
      <c r="D95" s="5">
        <v>20</v>
      </c>
      <c r="E95" s="5">
        <v>60</v>
      </c>
      <c r="F95" s="5" t="s">
        <v>159</v>
      </c>
      <c r="G95" s="5">
        <v>40</v>
      </c>
      <c r="H95" s="5" t="s">
        <v>159</v>
      </c>
      <c r="I95" s="5">
        <v>50</v>
      </c>
      <c r="J95" s="12">
        <f t="shared" si="3"/>
        <v>0.12</v>
      </c>
      <c r="K95" s="12">
        <v>15</v>
      </c>
      <c r="L95" s="12">
        <v>0.65</v>
      </c>
      <c r="M95" s="5">
        <v>6102309000</v>
      </c>
      <c r="N95" s="5" t="s">
        <v>108</v>
      </c>
      <c r="O95" s="35">
        <v>0.12</v>
      </c>
      <c r="P95" s="59">
        <v>0.12</v>
      </c>
      <c r="Q95" s="57">
        <v>0.03</v>
      </c>
    </row>
    <row r="96" spans="1:17" x14ac:dyDescent="0.2">
      <c r="A96" s="4" t="s">
        <v>44</v>
      </c>
      <c r="B96" s="4" t="s">
        <v>656</v>
      </c>
      <c r="C96" s="5" t="s">
        <v>8</v>
      </c>
      <c r="D96" s="5">
        <v>20</v>
      </c>
      <c r="E96" s="5">
        <v>55</v>
      </c>
      <c r="F96" s="5" t="s">
        <v>159</v>
      </c>
      <c r="G96" s="5">
        <v>37</v>
      </c>
      <c r="H96" s="5" t="s">
        <v>159</v>
      </c>
      <c r="I96" s="5">
        <v>50</v>
      </c>
      <c r="J96" s="12">
        <f t="shared" si="3"/>
        <v>0.10174999999999999</v>
      </c>
      <c r="K96" s="12">
        <v>12</v>
      </c>
      <c r="L96" s="12">
        <v>0.5</v>
      </c>
      <c r="M96" s="23">
        <v>6104390090</v>
      </c>
      <c r="N96" s="5" t="s">
        <v>108</v>
      </c>
      <c r="O96" s="35">
        <v>0.12</v>
      </c>
      <c r="P96" s="59">
        <v>0.12</v>
      </c>
      <c r="Q96" s="57">
        <v>0.03</v>
      </c>
    </row>
    <row r="97" spans="1:17" x14ac:dyDescent="0.2">
      <c r="A97" s="214" t="s">
        <v>960</v>
      </c>
      <c r="B97" s="214" t="s">
        <v>961</v>
      </c>
      <c r="C97" s="5" t="s">
        <v>524</v>
      </c>
      <c r="D97" s="209">
        <v>25</v>
      </c>
      <c r="E97" s="5">
        <v>60</v>
      </c>
      <c r="F97" s="5" t="s">
        <v>159</v>
      </c>
      <c r="G97" s="5">
        <v>40</v>
      </c>
      <c r="H97" s="5" t="s">
        <v>159</v>
      </c>
      <c r="I97" s="5">
        <v>30</v>
      </c>
      <c r="J97" s="12">
        <f t="shared" si="3"/>
        <v>7.1999999999999995E-2</v>
      </c>
      <c r="K97" s="216">
        <v>10.26</v>
      </c>
      <c r="L97" s="216">
        <f>8.4/D97</f>
        <v>0.33600000000000002</v>
      </c>
      <c r="M97" s="209">
        <v>6103390090</v>
      </c>
      <c r="N97" s="209" t="s">
        <v>108</v>
      </c>
      <c r="O97" s="35"/>
      <c r="P97" s="59"/>
      <c r="Q97" s="57"/>
    </row>
    <row r="98" spans="1:17" x14ac:dyDescent="0.2">
      <c r="A98" s="228"/>
      <c r="B98" s="228"/>
      <c r="C98" s="5" t="s">
        <v>166</v>
      </c>
      <c r="D98" s="210"/>
      <c r="E98" s="5">
        <v>60</v>
      </c>
      <c r="F98" s="5" t="s">
        <v>159</v>
      </c>
      <c r="G98" s="5">
        <v>40</v>
      </c>
      <c r="H98" s="5" t="s">
        <v>159</v>
      </c>
      <c r="I98" s="5">
        <v>35</v>
      </c>
      <c r="J98" s="12">
        <f t="shared" si="3"/>
        <v>8.4000000000000005E-2</v>
      </c>
      <c r="K98" s="217"/>
      <c r="L98" s="217"/>
      <c r="M98" s="210"/>
      <c r="N98" s="210"/>
      <c r="O98" s="35"/>
      <c r="P98" s="59"/>
      <c r="Q98" s="57"/>
    </row>
    <row r="99" spans="1:17" x14ac:dyDescent="0.2">
      <c r="A99" s="215"/>
      <c r="B99" s="215"/>
      <c r="C99" s="5" t="s">
        <v>167</v>
      </c>
      <c r="D99" s="211"/>
      <c r="E99" s="5">
        <v>60</v>
      </c>
      <c r="F99" s="5" t="s">
        <v>159</v>
      </c>
      <c r="G99" s="5">
        <v>40</v>
      </c>
      <c r="H99" s="5" t="s">
        <v>159</v>
      </c>
      <c r="I99" s="5">
        <v>40</v>
      </c>
      <c r="J99" s="12">
        <f t="shared" si="3"/>
        <v>9.6000000000000002E-2</v>
      </c>
      <c r="K99" s="218"/>
      <c r="L99" s="218"/>
      <c r="M99" s="211"/>
      <c r="N99" s="211"/>
      <c r="O99" s="35"/>
      <c r="P99" s="59"/>
      <c r="Q99" s="57"/>
    </row>
    <row r="100" spans="1:17" x14ac:dyDescent="0.2">
      <c r="A100" s="4" t="s">
        <v>55</v>
      </c>
      <c r="B100" s="4" t="s">
        <v>94</v>
      </c>
      <c r="C100" s="5" t="s">
        <v>20</v>
      </c>
      <c r="D100" s="5">
        <v>10</v>
      </c>
      <c r="E100" s="5">
        <v>59</v>
      </c>
      <c r="F100" s="5" t="s">
        <v>159</v>
      </c>
      <c r="G100" s="5">
        <v>39</v>
      </c>
      <c r="H100" s="5" t="s">
        <v>159</v>
      </c>
      <c r="I100" s="5">
        <v>21</v>
      </c>
      <c r="J100" s="12">
        <f t="shared" si="3"/>
        <v>4.8321000000000003E-2</v>
      </c>
      <c r="K100" s="12">
        <v>8.5</v>
      </c>
      <c r="L100" s="12">
        <v>0.75</v>
      </c>
      <c r="M100" s="5">
        <v>6203339000</v>
      </c>
      <c r="N100" s="5" t="s">
        <v>6</v>
      </c>
      <c r="O100" s="35">
        <v>0.12</v>
      </c>
      <c r="P100" s="59">
        <v>0.12</v>
      </c>
      <c r="Q100" s="57">
        <v>0.03</v>
      </c>
    </row>
    <row r="101" spans="1:17" x14ac:dyDescent="0.2">
      <c r="A101" s="4" t="s">
        <v>56</v>
      </c>
      <c r="B101" s="4" t="s">
        <v>658</v>
      </c>
      <c r="C101" s="5" t="s">
        <v>20</v>
      </c>
      <c r="D101" s="5">
        <v>10</v>
      </c>
      <c r="E101" s="5">
        <v>60</v>
      </c>
      <c r="F101" s="5" t="s">
        <v>159</v>
      </c>
      <c r="G101" s="5">
        <v>40</v>
      </c>
      <c r="H101" s="5" t="s">
        <v>159</v>
      </c>
      <c r="I101" s="5">
        <v>26</v>
      </c>
      <c r="J101" s="12">
        <f t="shared" si="3"/>
        <v>6.2399999999999997E-2</v>
      </c>
      <c r="K101" s="12">
        <v>10</v>
      </c>
      <c r="L101" s="12">
        <v>0.9</v>
      </c>
      <c r="M101" s="5">
        <v>6201930000</v>
      </c>
      <c r="N101" s="5" t="s">
        <v>6</v>
      </c>
      <c r="O101" s="35">
        <v>0.12</v>
      </c>
      <c r="P101" s="59">
        <v>0.12</v>
      </c>
      <c r="Q101" s="57">
        <v>0.03</v>
      </c>
    </row>
    <row r="102" spans="1:17" x14ac:dyDescent="0.2">
      <c r="A102" s="4" t="s">
        <v>57</v>
      </c>
      <c r="B102" s="4" t="s">
        <v>34</v>
      </c>
      <c r="C102" s="5" t="s">
        <v>23</v>
      </c>
      <c r="D102" s="5">
        <v>10</v>
      </c>
      <c r="E102" s="5">
        <v>59</v>
      </c>
      <c r="F102" s="5" t="s">
        <v>159</v>
      </c>
      <c r="G102" s="5">
        <v>39</v>
      </c>
      <c r="H102" s="5" t="s">
        <v>159</v>
      </c>
      <c r="I102" s="5">
        <v>21</v>
      </c>
      <c r="J102" s="12">
        <f t="shared" si="3"/>
        <v>4.8321000000000003E-2</v>
      </c>
      <c r="K102" s="12">
        <v>8.5</v>
      </c>
      <c r="L102" s="12">
        <v>0.75</v>
      </c>
      <c r="M102" s="5">
        <v>6211339000</v>
      </c>
      <c r="N102" s="5" t="s">
        <v>6</v>
      </c>
      <c r="O102" s="35">
        <v>0.12</v>
      </c>
      <c r="P102" s="59">
        <v>0.12</v>
      </c>
      <c r="Q102" s="57">
        <v>0.03</v>
      </c>
    </row>
    <row r="103" spans="1:17" x14ac:dyDescent="0.2">
      <c r="A103" s="4" t="s">
        <v>58</v>
      </c>
      <c r="B103" s="4" t="s">
        <v>659</v>
      </c>
      <c r="C103" s="5" t="s">
        <v>29</v>
      </c>
      <c r="D103" s="5">
        <v>10</v>
      </c>
      <c r="E103" s="5">
        <v>59</v>
      </c>
      <c r="F103" s="5" t="s">
        <v>159</v>
      </c>
      <c r="G103" s="5">
        <v>39</v>
      </c>
      <c r="H103" s="5" t="s">
        <v>159</v>
      </c>
      <c r="I103" s="5">
        <v>21</v>
      </c>
      <c r="J103" s="12">
        <f t="shared" si="3"/>
        <v>4.8321000000000003E-2</v>
      </c>
      <c r="K103" s="12">
        <v>8.3000000000000007</v>
      </c>
      <c r="L103" s="12">
        <v>0.73</v>
      </c>
      <c r="M103" s="5">
        <v>6211339000</v>
      </c>
      <c r="N103" s="5" t="s">
        <v>6</v>
      </c>
      <c r="O103" s="35">
        <v>0.12</v>
      </c>
      <c r="P103" s="59">
        <v>0.12</v>
      </c>
      <c r="Q103" s="57">
        <v>0.03</v>
      </c>
    </row>
    <row r="104" spans="1:17" x14ac:dyDescent="0.2">
      <c r="A104" s="4" t="s">
        <v>437</v>
      </c>
      <c r="B104" s="4" t="s">
        <v>439</v>
      </c>
      <c r="C104" s="5" t="s">
        <v>182</v>
      </c>
      <c r="D104" s="5">
        <v>20</v>
      </c>
      <c r="E104" s="5">
        <v>48</v>
      </c>
      <c r="F104" s="5" t="s">
        <v>159</v>
      </c>
      <c r="G104" s="5">
        <v>30</v>
      </c>
      <c r="H104" s="5" t="s">
        <v>159</v>
      </c>
      <c r="I104" s="5">
        <v>21</v>
      </c>
      <c r="J104" s="12">
        <f t="shared" si="3"/>
        <v>3.024E-2</v>
      </c>
      <c r="K104" s="12">
        <v>11</v>
      </c>
      <c r="L104" s="12">
        <v>0.5</v>
      </c>
      <c r="M104" s="5">
        <v>6201930000</v>
      </c>
      <c r="N104" s="5" t="s">
        <v>6</v>
      </c>
      <c r="O104" s="35">
        <v>0.12</v>
      </c>
      <c r="P104" s="59">
        <v>0.12</v>
      </c>
      <c r="Q104" s="57">
        <v>0.03</v>
      </c>
    </row>
    <row r="105" spans="1:17" x14ac:dyDescent="0.2">
      <c r="A105" s="4" t="s">
        <v>438</v>
      </c>
      <c r="B105" s="4" t="s">
        <v>440</v>
      </c>
      <c r="C105" s="5" t="s">
        <v>168</v>
      </c>
      <c r="D105" s="5">
        <v>20</v>
      </c>
      <c r="E105" s="5">
        <v>54</v>
      </c>
      <c r="F105" s="5" t="s">
        <v>159</v>
      </c>
      <c r="G105" s="5">
        <v>32</v>
      </c>
      <c r="H105" s="5" t="s">
        <v>159</v>
      </c>
      <c r="I105" s="5">
        <v>21</v>
      </c>
      <c r="J105" s="12">
        <f t="shared" si="3"/>
        <v>3.6288000000000001E-2</v>
      </c>
      <c r="K105" s="12">
        <v>11</v>
      </c>
      <c r="L105" s="12">
        <v>0.5</v>
      </c>
      <c r="M105" s="5">
        <v>6201930000</v>
      </c>
      <c r="N105" s="5" t="s">
        <v>6</v>
      </c>
      <c r="O105" s="35"/>
      <c r="P105" s="59">
        <v>0.12</v>
      </c>
      <c r="Q105" s="57">
        <v>0.03</v>
      </c>
    </row>
    <row r="106" spans="1:17" x14ac:dyDescent="0.2">
      <c r="A106" s="4" t="s">
        <v>473</v>
      </c>
      <c r="B106" s="4" t="s">
        <v>681</v>
      </c>
      <c r="C106" s="5" t="s">
        <v>28</v>
      </c>
      <c r="D106" s="5">
        <v>10</v>
      </c>
      <c r="E106" s="5">
        <v>59</v>
      </c>
      <c r="F106" s="5" t="s">
        <v>159</v>
      </c>
      <c r="G106" s="5">
        <v>39</v>
      </c>
      <c r="H106" s="5" t="s">
        <v>159</v>
      </c>
      <c r="I106" s="5">
        <v>21</v>
      </c>
      <c r="J106" s="12">
        <f t="shared" si="3"/>
        <v>4.8321000000000003E-2</v>
      </c>
      <c r="K106" s="12">
        <v>8.5</v>
      </c>
      <c r="L106" s="12">
        <v>0.75</v>
      </c>
      <c r="M106" s="5">
        <v>6201930000</v>
      </c>
      <c r="N106" s="5" t="s">
        <v>6</v>
      </c>
      <c r="O106" s="35">
        <v>0.12</v>
      </c>
      <c r="P106" s="59">
        <v>0.12</v>
      </c>
      <c r="Q106" s="57">
        <v>0.03</v>
      </c>
    </row>
    <row r="107" spans="1:17" x14ac:dyDescent="0.2">
      <c r="A107" s="197" t="s">
        <v>443</v>
      </c>
      <c r="B107" s="197" t="s">
        <v>660</v>
      </c>
      <c r="C107" s="17" t="s">
        <v>169</v>
      </c>
      <c r="D107" s="188">
        <v>10</v>
      </c>
      <c r="E107" s="17">
        <v>50</v>
      </c>
      <c r="F107" s="17" t="s">
        <v>159</v>
      </c>
      <c r="G107" s="17">
        <v>35</v>
      </c>
      <c r="H107" s="17" t="s">
        <v>159</v>
      </c>
      <c r="I107" s="17">
        <v>20</v>
      </c>
      <c r="J107" s="20">
        <f t="shared" si="3"/>
        <v>3.5000000000000003E-2</v>
      </c>
      <c r="K107" s="191">
        <v>7</v>
      </c>
      <c r="L107" s="191">
        <v>0.6</v>
      </c>
      <c r="M107" s="188">
        <v>6202930000</v>
      </c>
      <c r="N107" s="188" t="s">
        <v>6</v>
      </c>
      <c r="O107" s="35"/>
      <c r="P107" s="59">
        <v>0.12</v>
      </c>
      <c r="Q107" s="57">
        <v>0.03</v>
      </c>
    </row>
    <row r="108" spans="1:17" x14ac:dyDescent="0.2">
      <c r="A108" s="198"/>
      <c r="B108" s="198"/>
      <c r="C108" s="17" t="s">
        <v>521</v>
      </c>
      <c r="D108" s="189"/>
      <c r="E108" s="17">
        <v>55</v>
      </c>
      <c r="F108" s="17" t="s">
        <v>159</v>
      </c>
      <c r="G108" s="17">
        <v>37</v>
      </c>
      <c r="H108" s="17" t="s">
        <v>159</v>
      </c>
      <c r="I108" s="17">
        <v>20</v>
      </c>
      <c r="J108" s="20">
        <f t="shared" si="3"/>
        <v>4.07E-2</v>
      </c>
      <c r="K108" s="192"/>
      <c r="L108" s="192"/>
      <c r="M108" s="189"/>
      <c r="N108" s="189"/>
      <c r="O108" s="35"/>
      <c r="P108" s="61"/>
      <c r="Q108" s="57"/>
    </row>
    <row r="109" spans="1:17" x14ac:dyDescent="0.2">
      <c r="A109" s="4" t="s">
        <v>24</v>
      </c>
      <c r="B109" s="4" t="s">
        <v>661</v>
      </c>
      <c r="C109" s="5" t="s">
        <v>47</v>
      </c>
      <c r="D109" s="5">
        <v>10</v>
      </c>
      <c r="E109" s="5">
        <v>57</v>
      </c>
      <c r="F109" s="5" t="s">
        <v>159</v>
      </c>
      <c r="G109" s="5">
        <v>38</v>
      </c>
      <c r="H109" s="5" t="s">
        <v>159</v>
      </c>
      <c r="I109" s="5">
        <v>24</v>
      </c>
      <c r="J109" s="12">
        <f t="shared" si="3"/>
        <v>5.1984000000000002E-2</v>
      </c>
      <c r="K109" s="12">
        <v>7.8</v>
      </c>
      <c r="L109" s="12">
        <v>0.68</v>
      </c>
      <c r="M109" s="5">
        <v>6211439000</v>
      </c>
      <c r="N109" s="5" t="s">
        <v>6</v>
      </c>
      <c r="O109" s="35">
        <v>0.12</v>
      </c>
      <c r="P109" s="59">
        <v>0.12</v>
      </c>
      <c r="Q109" s="57">
        <v>0.03</v>
      </c>
    </row>
    <row r="110" spans="1:17" x14ac:dyDescent="0.2">
      <c r="A110" s="4" t="s">
        <v>59</v>
      </c>
      <c r="B110" s="4" t="s">
        <v>25</v>
      </c>
      <c r="C110" s="5" t="s">
        <v>47</v>
      </c>
      <c r="D110" s="5">
        <v>10</v>
      </c>
      <c r="E110" s="5">
        <v>60</v>
      </c>
      <c r="F110" s="5" t="s">
        <v>159</v>
      </c>
      <c r="G110" s="5">
        <v>40</v>
      </c>
      <c r="H110" s="5" t="s">
        <v>159</v>
      </c>
      <c r="I110" s="5">
        <v>19</v>
      </c>
      <c r="J110" s="12">
        <f t="shared" si="3"/>
        <v>4.5600000000000002E-2</v>
      </c>
      <c r="K110" s="12">
        <v>7.8</v>
      </c>
      <c r="L110" s="12">
        <v>0.68</v>
      </c>
      <c r="M110" s="5">
        <v>6201930000</v>
      </c>
      <c r="N110" s="5" t="s">
        <v>6</v>
      </c>
      <c r="O110" s="35">
        <v>0.12</v>
      </c>
      <c r="P110" s="59">
        <v>0.12</v>
      </c>
      <c r="Q110" s="57">
        <v>0.03</v>
      </c>
    </row>
    <row r="111" spans="1:17" x14ac:dyDescent="0.2">
      <c r="A111" s="4" t="s">
        <v>60</v>
      </c>
      <c r="B111" s="4" t="s">
        <v>662</v>
      </c>
      <c r="C111" s="5" t="s">
        <v>28</v>
      </c>
      <c r="D111" s="5">
        <v>10</v>
      </c>
      <c r="E111" s="5">
        <v>60</v>
      </c>
      <c r="F111" s="5" t="s">
        <v>159</v>
      </c>
      <c r="G111" s="5">
        <v>40</v>
      </c>
      <c r="H111" s="5" t="s">
        <v>159</v>
      </c>
      <c r="I111" s="5">
        <v>23</v>
      </c>
      <c r="J111" s="12">
        <f t="shared" si="3"/>
        <v>5.5199999999999999E-2</v>
      </c>
      <c r="K111" s="12">
        <v>9</v>
      </c>
      <c r="L111" s="12">
        <v>0.8</v>
      </c>
      <c r="M111" s="5">
        <v>6211339000</v>
      </c>
      <c r="N111" s="5" t="s">
        <v>108</v>
      </c>
      <c r="O111" s="35">
        <v>0.12</v>
      </c>
      <c r="P111" s="59">
        <v>0.12</v>
      </c>
      <c r="Q111" s="57">
        <v>0.03</v>
      </c>
    </row>
    <row r="112" spans="1:17" x14ac:dyDescent="0.2">
      <c r="A112" s="206" t="s">
        <v>61</v>
      </c>
      <c r="B112" s="206" t="s">
        <v>663</v>
      </c>
      <c r="C112" s="5" t="s">
        <v>178</v>
      </c>
      <c r="D112" s="208">
        <v>10</v>
      </c>
      <c r="E112" s="5">
        <v>60</v>
      </c>
      <c r="F112" s="5" t="s">
        <v>159</v>
      </c>
      <c r="G112" s="5">
        <v>40</v>
      </c>
      <c r="H112" s="5" t="s">
        <v>159</v>
      </c>
      <c r="I112" s="5">
        <v>22</v>
      </c>
      <c r="J112" s="12">
        <f t="shared" si="3"/>
        <v>5.28E-2</v>
      </c>
      <c r="K112" s="190">
        <v>13</v>
      </c>
      <c r="L112" s="190">
        <v>1.2</v>
      </c>
      <c r="M112" s="208">
        <v>6201930000</v>
      </c>
      <c r="N112" s="208" t="s">
        <v>6</v>
      </c>
      <c r="O112" s="35">
        <v>0.12</v>
      </c>
      <c r="P112" s="59">
        <v>0.12</v>
      </c>
      <c r="Q112" s="57">
        <v>0.03</v>
      </c>
    </row>
    <row r="113" spans="1:17" x14ac:dyDescent="0.2">
      <c r="A113" s="206"/>
      <c r="B113" s="206"/>
      <c r="C113" s="5" t="s">
        <v>158</v>
      </c>
      <c r="D113" s="208"/>
      <c r="E113" s="5">
        <v>60</v>
      </c>
      <c r="F113" s="5" t="s">
        <v>159</v>
      </c>
      <c r="G113" s="5">
        <v>40</v>
      </c>
      <c r="H113" s="5" t="s">
        <v>159</v>
      </c>
      <c r="I113" s="5">
        <v>24</v>
      </c>
      <c r="J113" s="12">
        <f t="shared" si="3"/>
        <v>5.7599999999999998E-2</v>
      </c>
      <c r="K113" s="190"/>
      <c r="L113" s="190"/>
      <c r="M113" s="208"/>
      <c r="N113" s="208"/>
      <c r="O113" s="35"/>
      <c r="P113" s="61"/>
      <c r="Q113" s="57"/>
    </row>
    <row r="114" spans="1:17" x14ac:dyDescent="0.2">
      <c r="A114" s="4" t="s">
        <v>62</v>
      </c>
      <c r="B114" s="4" t="s">
        <v>26</v>
      </c>
      <c r="C114" s="5" t="s">
        <v>29</v>
      </c>
      <c r="D114" s="5">
        <v>20</v>
      </c>
      <c r="E114" s="5">
        <v>60</v>
      </c>
      <c r="F114" s="5" t="s">
        <v>159</v>
      </c>
      <c r="G114" s="5">
        <v>40</v>
      </c>
      <c r="H114" s="5" t="s">
        <v>159</v>
      </c>
      <c r="I114" s="5">
        <v>26</v>
      </c>
      <c r="J114" s="12">
        <f t="shared" si="3"/>
        <v>6.2399999999999997E-2</v>
      </c>
      <c r="K114" s="12">
        <v>16</v>
      </c>
      <c r="L114" s="12">
        <v>0.75</v>
      </c>
      <c r="M114" s="5">
        <v>6210400000</v>
      </c>
      <c r="N114" s="5" t="s">
        <v>6</v>
      </c>
      <c r="O114" s="35">
        <v>0.12</v>
      </c>
      <c r="P114" s="59">
        <v>0.12</v>
      </c>
      <c r="Q114" s="57">
        <v>0.03</v>
      </c>
    </row>
    <row r="115" spans="1:17" x14ac:dyDescent="0.2">
      <c r="A115" s="4" t="s">
        <v>63</v>
      </c>
      <c r="B115" s="4" t="s">
        <v>37</v>
      </c>
      <c r="C115" s="5" t="s">
        <v>29</v>
      </c>
      <c r="D115" s="5">
        <v>20</v>
      </c>
      <c r="E115" s="5">
        <v>60</v>
      </c>
      <c r="F115" s="5" t="s">
        <v>159</v>
      </c>
      <c r="G115" s="5">
        <v>40</v>
      </c>
      <c r="H115" s="5" t="s">
        <v>159</v>
      </c>
      <c r="I115" s="5">
        <v>55</v>
      </c>
      <c r="J115" s="12">
        <f t="shared" si="3"/>
        <v>0.13200000000000001</v>
      </c>
      <c r="K115" s="12">
        <v>17</v>
      </c>
      <c r="L115" s="12">
        <v>0.77500000000000002</v>
      </c>
      <c r="M115" s="5">
        <v>6201930000</v>
      </c>
      <c r="N115" s="5" t="s">
        <v>6</v>
      </c>
      <c r="O115" s="35">
        <v>0.12</v>
      </c>
      <c r="P115" s="59">
        <v>0.12</v>
      </c>
      <c r="Q115" s="57">
        <v>0.03</v>
      </c>
    </row>
    <row r="116" spans="1:17" x14ac:dyDescent="0.2">
      <c r="A116" s="4" t="s">
        <v>530</v>
      </c>
      <c r="B116" s="4" t="s">
        <v>682</v>
      </c>
      <c r="C116" s="5" t="s">
        <v>20</v>
      </c>
      <c r="D116" s="5">
        <v>20</v>
      </c>
      <c r="E116" s="5">
        <v>59</v>
      </c>
      <c r="F116" s="5" t="s">
        <v>159</v>
      </c>
      <c r="G116" s="5">
        <v>39</v>
      </c>
      <c r="H116" s="5" t="s">
        <v>159</v>
      </c>
      <c r="I116" s="5">
        <v>26</v>
      </c>
      <c r="J116" s="12">
        <f t="shared" si="3"/>
        <v>5.9825999999999997E-2</v>
      </c>
      <c r="K116" s="12">
        <v>13</v>
      </c>
      <c r="L116" s="12">
        <v>0.6</v>
      </c>
      <c r="M116" s="5">
        <v>6201930000</v>
      </c>
      <c r="N116" s="9" t="s">
        <v>108</v>
      </c>
      <c r="O116" s="35">
        <v>0.12</v>
      </c>
      <c r="P116" s="59">
        <v>0.12</v>
      </c>
      <c r="Q116" s="57">
        <v>0.03</v>
      </c>
    </row>
    <row r="117" spans="1:17" x14ac:dyDescent="0.2">
      <c r="A117" s="19" t="s">
        <v>85</v>
      </c>
      <c r="B117" s="19" t="s">
        <v>664</v>
      </c>
      <c r="C117" s="17" t="s">
        <v>8</v>
      </c>
      <c r="D117" s="17">
        <v>20</v>
      </c>
      <c r="E117" s="17">
        <v>59</v>
      </c>
      <c r="F117" s="5" t="s">
        <v>159</v>
      </c>
      <c r="G117" s="17">
        <v>38</v>
      </c>
      <c r="H117" s="5" t="s">
        <v>159</v>
      </c>
      <c r="I117" s="17">
        <v>26</v>
      </c>
      <c r="J117" s="12">
        <f t="shared" si="3"/>
        <v>5.8291999999999997E-2</v>
      </c>
      <c r="K117" s="20">
        <v>12</v>
      </c>
      <c r="L117" s="20">
        <v>0.55000000000000004</v>
      </c>
      <c r="M117" s="17">
        <v>6202930000</v>
      </c>
      <c r="N117" s="9" t="s">
        <v>108</v>
      </c>
      <c r="O117" s="35">
        <v>0.12</v>
      </c>
      <c r="P117" s="59">
        <v>0.12</v>
      </c>
      <c r="Q117" s="57">
        <v>0.03</v>
      </c>
    </row>
    <row r="118" spans="1:17" x14ac:dyDescent="0.2">
      <c r="A118" s="19" t="s">
        <v>95</v>
      </c>
      <c r="B118" s="19" t="s">
        <v>665</v>
      </c>
      <c r="C118" s="17" t="s">
        <v>23</v>
      </c>
      <c r="D118" s="17">
        <v>10</v>
      </c>
      <c r="E118" s="17">
        <v>60</v>
      </c>
      <c r="F118" s="5" t="s">
        <v>159</v>
      </c>
      <c r="G118" s="17">
        <v>40</v>
      </c>
      <c r="H118" s="5" t="s">
        <v>159</v>
      </c>
      <c r="I118" s="17">
        <v>37</v>
      </c>
      <c r="J118" s="12">
        <f t="shared" si="3"/>
        <v>8.8800000000000004E-2</v>
      </c>
      <c r="K118" s="20">
        <v>11.5</v>
      </c>
      <c r="L118" s="20">
        <v>0.1</v>
      </c>
      <c r="M118" s="17">
        <v>6110309900</v>
      </c>
      <c r="N118" s="17" t="s">
        <v>6</v>
      </c>
      <c r="O118" s="35">
        <v>0.12</v>
      </c>
      <c r="P118" s="59">
        <v>0.12</v>
      </c>
      <c r="Q118" s="57">
        <v>0.03</v>
      </c>
    </row>
    <row r="119" spans="1:17" x14ac:dyDescent="0.2">
      <c r="A119" s="8" t="s">
        <v>45</v>
      </c>
      <c r="B119" s="8" t="s">
        <v>683</v>
      </c>
      <c r="C119" s="9" t="s">
        <v>29</v>
      </c>
      <c r="D119" s="9">
        <v>10</v>
      </c>
      <c r="E119" s="9">
        <v>60</v>
      </c>
      <c r="F119" s="5" t="s">
        <v>159</v>
      </c>
      <c r="G119" s="9">
        <v>40</v>
      </c>
      <c r="H119" s="5" t="s">
        <v>159</v>
      </c>
      <c r="I119" s="9">
        <v>22</v>
      </c>
      <c r="J119" s="12">
        <f t="shared" si="3"/>
        <v>5.28E-2</v>
      </c>
      <c r="K119" s="7">
        <v>9</v>
      </c>
      <c r="L119" s="7">
        <v>0.74</v>
      </c>
      <c r="M119" s="9">
        <v>6201930000</v>
      </c>
      <c r="N119" s="9" t="s">
        <v>108</v>
      </c>
      <c r="O119" s="35">
        <v>0.12</v>
      </c>
      <c r="P119" s="59">
        <v>0.12</v>
      </c>
      <c r="Q119" s="57">
        <v>0.03</v>
      </c>
    </row>
    <row r="120" spans="1:17" x14ac:dyDescent="0.2">
      <c r="A120" s="8" t="s">
        <v>46</v>
      </c>
      <c r="B120" s="8" t="s">
        <v>666</v>
      </c>
      <c r="C120" s="9" t="s">
        <v>8</v>
      </c>
      <c r="D120" s="9">
        <v>10</v>
      </c>
      <c r="E120" s="9">
        <v>55</v>
      </c>
      <c r="F120" s="5" t="s">
        <v>159</v>
      </c>
      <c r="G120" s="9">
        <v>40</v>
      </c>
      <c r="H120" s="5" t="s">
        <v>159</v>
      </c>
      <c r="I120" s="9">
        <v>29</v>
      </c>
      <c r="J120" s="12">
        <f t="shared" si="3"/>
        <v>6.3799999999999996E-2</v>
      </c>
      <c r="K120" s="7">
        <v>12</v>
      </c>
      <c r="L120" s="7">
        <v>0.72799999999999998</v>
      </c>
      <c r="M120" s="9">
        <v>6202930000</v>
      </c>
      <c r="N120" s="9" t="s">
        <v>108</v>
      </c>
      <c r="O120" s="35">
        <v>0.12</v>
      </c>
      <c r="P120" s="59">
        <v>0.12</v>
      </c>
      <c r="Q120" s="57">
        <v>0.03</v>
      </c>
    </row>
    <row r="121" spans="1:17" x14ac:dyDescent="0.2">
      <c r="A121" s="4" t="s">
        <v>417</v>
      </c>
      <c r="B121" s="4" t="s">
        <v>684</v>
      </c>
      <c r="C121" s="5" t="s">
        <v>23</v>
      </c>
      <c r="D121" s="5">
        <v>10</v>
      </c>
      <c r="E121" s="5">
        <v>32</v>
      </c>
      <c r="F121" s="5" t="s">
        <v>159</v>
      </c>
      <c r="G121" s="5">
        <v>39</v>
      </c>
      <c r="H121" s="5" t="s">
        <v>159</v>
      </c>
      <c r="I121" s="5">
        <v>28</v>
      </c>
      <c r="J121" s="12">
        <f t="shared" si="3"/>
        <v>3.4944000000000003E-2</v>
      </c>
      <c r="K121" s="12">
        <v>7</v>
      </c>
      <c r="L121" s="12">
        <v>0.6</v>
      </c>
      <c r="M121" s="5">
        <v>6211339000</v>
      </c>
      <c r="N121" s="5" t="s">
        <v>6</v>
      </c>
      <c r="O121" s="35">
        <v>0.12</v>
      </c>
      <c r="P121" s="59">
        <v>0.12</v>
      </c>
      <c r="Q121" s="57">
        <v>0.03</v>
      </c>
    </row>
    <row r="122" spans="1:17" x14ac:dyDescent="0.2">
      <c r="A122" s="4" t="s">
        <v>87</v>
      </c>
      <c r="B122" s="4" t="s">
        <v>667</v>
      </c>
      <c r="C122" s="5" t="s">
        <v>8</v>
      </c>
      <c r="D122" s="5">
        <v>10</v>
      </c>
      <c r="E122" s="5">
        <v>29</v>
      </c>
      <c r="F122" s="5" t="s">
        <v>159</v>
      </c>
      <c r="G122" s="5">
        <v>39</v>
      </c>
      <c r="H122" s="5" t="s">
        <v>159</v>
      </c>
      <c r="I122" s="5">
        <v>28</v>
      </c>
      <c r="J122" s="12">
        <f t="shared" si="3"/>
        <v>3.1668000000000002E-2</v>
      </c>
      <c r="K122" s="12">
        <v>7</v>
      </c>
      <c r="L122" s="12">
        <v>0.6</v>
      </c>
      <c r="M122" s="5">
        <v>6211439000</v>
      </c>
      <c r="N122" s="5" t="s">
        <v>6</v>
      </c>
      <c r="O122" s="35">
        <v>0.12</v>
      </c>
      <c r="P122" s="59">
        <v>0.12</v>
      </c>
      <c r="Q122" s="57">
        <v>0.03</v>
      </c>
    </row>
    <row r="123" spans="1:17" x14ac:dyDescent="0.2">
      <c r="A123" s="4" t="s">
        <v>64</v>
      </c>
      <c r="B123" s="4" t="s">
        <v>668</v>
      </c>
      <c r="C123" s="5" t="s">
        <v>20</v>
      </c>
      <c r="D123" s="5">
        <v>10</v>
      </c>
      <c r="E123" s="5">
        <v>35</v>
      </c>
      <c r="F123" s="5" t="s">
        <v>159</v>
      </c>
      <c r="G123" s="5">
        <v>42</v>
      </c>
      <c r="H123" s="5" t="s">
        <v>159</v>
      </c>
      <c r="I123" s="5">
        <v>20</v>
      </c>
      <c r="J123" s="12">
        <f t="shared" si="3"/>
        <v>2.9399999999999999E-2</v>
      </c>
      <c r="K123" s="12">
        <v>6</v>
      </c>
      <c r="L123" s="12">
        <v>0.5</v>
      </c>
      <c r="M123" s="5">
        <v>6211339000</v>
      </c>
      <c r="N123" s="5" t="s">
        <v>6</v>
      </c>
      <c r="O123" s="35">
        <v>0.12</v>
      </c>
      <c r="P123" s="59">
        <v>0.12</v>
      </c>
      <c r="Q123" s="57">
        <v>0.03</v>
      </c>
    </row>
    <row r="124" spans="1:17" x14ac:dyDescent="0.2">
      <c r="A124" s="4" t="s">
        <v>48</v>
      </c>
      <c r="B124" s="4" t="s">
        <v>79</v>
      </c>
      <c r="C124" s="5" t="s">
        <v>7</v>
      </c>
      <c r="D124" s="5">
        <v>50</v>
      </c>
      <c r="E124" s="5">
        <v>55</v>
      </c>
      <c r="F124" s="5" t="s">
        <v>159</v>
      </c>
      <c r="G124" s="5">
        <v>40</v>
      </c>
      <c r="H124" s="5" t="s">
        <v>159</v>
      </c>
      <c r="I124" s="5">
        <v>32</v>
      </c>
      <c r="J124" s="12">
        <f t="shared" si="3"/>
        <v>7.0400000000000004E-2</v>
      </c>
      <c r="K124" s="12">
        <v>7.5</v>
      </c>
      <c r="L124" s="12">
        <f>6.5/50</f>
        <v>0.13</v>
      </c>
      <c r="M124" s="17">
        <v>6216000000</v>
      </c>
      <c r="N124" s="17" t="s">
        <v>6</v>
      </c>
      <c r="O124" s="3"/>
      <c r="P124" s="62">
        <v>7.5999999999999998E-2</v>
      </c>
      <c r="Q124" s="57">
        <v>0.01</v>
      </c>
    </row>
    <row r="125" spans="1:17" x14ac:dyDescent="0.2">
      <c r="A125" s="4" t="s">
        <v>65</v>
      </c>
      <c r="B125" s="4" t="s">
        <v>669</v>
      </c>
      <c r="C125" s="5" t="s">
        <v>47</v>
      </c>
      <c r="D125" s="5">
        <v>10</v>
      </c>
      <c r="E125" s="5">
        <v>61</v>
      </c>
      <c r="F125" s="5" t="s">
        <v>159</v>
      </c>
      <c r="G125" s="5">
        <v>41</v>
      </c>
      <c r="H125" s="5" t="s">
        <v>159</v>
      </c>
      <c r="I125" s="5">
        <v>32</v>
      </c>
      <c r="J125" s="12">
        <f t="shared" si="3"/>
        <v>8.0032000000000006E-2</v>
      </c>
      <c r="K125" s="12">
        <v>11.5</v>
      </c>
      <c r="L125" s="12">
        <v>1.05</v>
      </c>
      <c r="M125" s="5">
        <v>6210400000</v>
      </c>
      <c r="N125" s="5" t="s">
        <v>6</v>
      </c>
      <c r="O125" s="35">
        <v>0.12</v>
      </c>
      <c r="P125" s="59">
        <v>0.12</v>
      </c>
      <c r="Q125" s="57">
        <v>0.03</v>
      </c>
    </row>
    <row r="126" spans="1:17" x14ac:dyDescent="0.2">
      <c r="A126" s="4" t="s">
        <v>66</v>
      </c>
      <c r="B126" s="4" t="s">
        <v>670</v>
      </c>
      <c r="C126" s="5" t="s">
        <v>23</v>
      </c>
      <c r="D126" s="5">
        <v>10</v>
      </c>
      <c r="E126" s="5">
        <v>41</v>
      </c>
      <c r="F126" s="5" t="s">
        <v>159</v>
      </c>
      <c r="G126" s="5">
        <v>34</v>
      </c>
      <c r="H126" s="5" t="s">
        <v>159</v>
      </c>
      <c r="I126" s="5">
        <v>51</v>
      </c>
      <c r="J126" s="12">
        <f t="shared" ref="J126:J157" si="4">+E126*G126*I126/1000000</f>
        <v>7.1094000000000004E-2</v>
      </c>
      <c r="K126" s="12">
        <v>8</v>
      </c>
      <c r="L126" s="12">
        <v>0.7</v>
      </c>
      <c r="M126" s="5">
        <v>6211339000</v>
      </c>
      <c r="N126" s="5" t="s">
        <v>6</v>
      </c>
      <c r="O126" s="35">
        <v>0.12</v>
      </c>
      <c r="P126" s="59">
        <v>0.12</v>
      </c>
      <c r="Q126" s="57">
        <v>0.03</v>
      </c>
    </row>
    <row r="127" spans="1:17" x14ac:dyDescent="0.2">
      <c r="A127" s="4" t="s">
        <v>375</v>
      </c>
      <c r="B127" s="4" t="s">
        <v>376</v>
      </c>
      <c r="C127" s="5" t="s">
        <v>9</v>
      </c>
      <c r="D127" s="5">
        <v>50</v>
      </c>
      <c r="E127" s="17">
        <v>60</v>
      </c>
      <c r="F127" s="17" t="s">
        <v>159</v>
      </c>
      <c r="G127" s="17">
        <v>40</v>
      </c>
      <c r="H127" s="17" t="s">
        <v>159</v>
      </c>
      <c r="I127" s="17">
        <v>46</v>
      </c>
      <c r="J127" s="12">
        <f t="shared" si="4"/>
        <v>0.1104</v>
      </c>
      <c r="K127" s="20">
        <v>12</v>
      </c>
      <c r="L127" s="20">
        <v>0.2</v>
      </c>
      <c r="M127" s="5">
        <v>6117100000</v>
      </c>
      <c r="N127" s="5" t="s">
        <v>6</v>
      </c>
      <c r="O127" s="3"/>
      <c r="P127" s="59">
        <v>0.12</v>
      </c>
      <c r="Q127" s="57">
        <v>0.01</v>
      </c>
    </row>
    <row r="128" spans="1:17" x14ac:dyDescent="0.2">
      <c r="A128" s="4" t="s">
        <v>207</v>
      </c>
      <c r="B128" s="4" t="s">
        <v>208</v>
      </c>
      <c r="C128" s="5" t="s">
        <v>9</v>
      </c>
      <c r="D128" s="17">
        <v>100</v>
      </c>
      <c r="E128" s="17">
        <v>60</v>
      </c>
      <c r="F128" s="17" t="s">
        <v>159</v>
      </c>
      <c r="G128" s="17">
        <v>40</v>
      </c>
      <c r="H128" s="17" t="s">
        <v>159</v>
      </c>
      <c r="I128" s="17">
        <v>40</v>
      </c>
      <c r="J128" s="20">
        <f t="shared" si="4"/>
        <v>9.6000000000000002E-2</v>
      </c>
      <c r="K128" s="20">
        <v>11</v>
      </c>
      <c r="L128" s="20">
        <v>0.22</v>
      </c>
      <c r="M128" s="5">
        <v>6505009090</v>
      </c>
      <c r="N128" s="5" t="s">
        <v>6</v>
      </c>
      <c r="O128" s="3"/>
      <c r="P128" s="62">
        <v>2.7E-2</v>
      </c>
      <c r="Q128" s="57">
        <v>0.01</v>
      </c>
    </row>
    <row r="129" spans="1:17" x14ac:dyDescent="0.2">
      <c r="A129" s="4" t="s">
        <v>74</v>
      </c>
      <c r="B129" s="4" t="s">
        <v>613</v>
      </c>
      <c r="C129" s="5" t="s">
        <v>9</v>
      </c>
      <c r="D129" s="5">
        <v>100</v>
      </c>
      <c r="E129" s="5">
        <v>60</v>
      </c>
      <c r="F129" s="5" t="s">
        <v>159</v>
      </c>
      <c r="G129" s="5">
        <v>40</v>
      </c>
      <c r="H129" s="5" t="s">
        <v>159</v>
      </c>
      <c r="I129" s="5">
        <v>46</v>
      </c>
      <c r="J129" s="12">
        <f t="shared" si="4"/>
        <v>0.1104</v>
      </c>
      <c r="K129" s="12">
        <v>12.5</v>
      </c>
      <c r="L129" s="12">
        <f t="shared" ref="L129:L136" si="5">K129/D129</f>
        <v>0.125</v>
      </c>
      <c r="M129" s="5">
        <v>6117100000</v>
      </c>
      <c r="N129" s="5" t="s">
        <v>6</v>
      </c>
      <c r="O129" s="3"/>
      <c r="P129" s="59">
        <v>0.12</v>
      </c>
      <c r="Q129" s="57">
        <v>0.01</v>
      </c>
    </row>
    <row r="130" spans="1:17" x14ac:dyDescent="0.2">
      <c r="A130" s="4" t="s">
        <v>75</v>
      </c>
      <c r="B130" s="4" t="s">
        <v>614</v>
      </c>
      <c r="C130" s="5" t="s">
        <v>7</v>
      </c>
      <c r="D130" s="5">
        <v>100</v>
      </c>
      <c r="E130" s="5">
        <v>60</v>
      </c>
      <c r="F130" s="5" t="s">
        <v>159</v>
      </c>
      <c r="G130" s="5">
        <v>40</v>
      </c>
      <c r="H130" s="5" t="s">
        <v>159</v>
      </c>
      <c r="I130" s="5">
        <v>23</v>
      </c>
      <c r="J130" s="12">
        <f t="shared" si="4"/>
        <v>5.5199999999999999E-2</v>
      </c>
      <c r="K130" s="12">
        <v>8</v>
      </c>
      <c r="L130" s="12">
        <f t="shared" si="5"/>
        <v>0.08</v>
      </c>
      <c r="M130" s="5">
        <v>6116930000</v>
      </c>
      <c r="N130" s="5" t="s">
        <v>6</v>
      </c>
      <c r="O130" s="3"/>
      <c r="P130" s="62">
        <v>8.8999999999999996E-2</v>
      </c>
      <c r="Q130" s="57">
        <v>0.01</v>
      </c>
    </row>
    <row r="131" spans="1:17" x14ac:dyDescent="0.2">
      <c r="A131" s="19" t="s">
        <v>96</v>
      </c>
      <c r="B131" s="19" t="s">
        <v>97</v>
      </c>
      <c r="C131" s="17" t="s">
        <v>9</v>
      </c>
      <c r="D131" s="17">
        <v>100</v>
      </c>
      <c r="E131" s="17">
        <v>60</v>
      </c>
      <c r="F131" s="5" t="s">
        <v>159</v>
      </c>
      <c r="G131" s="17">
        <v>40</v>
      </c>
      <c r="H131" s="5" t="s">
        <v>159</v>
      </c>
      <c r="I131" s="17">
        <v>70</v>
      </c>
      <c r="J131" s="12">
        <f t="shared" si="4"/>
        <v>0.16800000000000001</v>
      </c>
      <c r="K131" s="20">
        <v>24</v>
      </c>
      <c r="L131" s="12">
        <f t="shared" si="5"/>
        <v>0.24</v>
      </c>
      <c r="M131" s="17">
        <v>6117100000</v>
      </c>
      <c r="N131" s="17" t="s">
        <v>6</v>
      </c>
      <c r="O131" s="3"/>
      <c r="P131" s="59">
        <v>0.12</v>
      </c>
      <c r="Q131" s="57">
        <v>0.01</v>
      </c>
    </row>
    <row r="132" spans="1:17" x14ac:dyDescent="0.2">
      <c r="A132" s="19" t="s">
        <v>98</v>
      </c>
      <c r="B132" s="19" t="s">
        <v>99</v>
      </c>
      <c r="C132" s="17" t="s">
        <v>9</v>
      </c>
      <c r="D132" s="17">
        <v>100</v>
      </c>
      <c r="E132" s="17">
        <v>60</v>
      </c>
      <c r="F132" s="5" t="s">
        <v>159</v>
      </c>
      <c r="G132" s="17">
        <v>40</v>
      </c>
      <c r="H132" s="5" t="s">
        <v>159</v>
      </c>
      <c r="I132" s="17">
        <v>34</v>
      </c>
      <c r="J132" s="12">
        <f t="shared" si="4"/>
        <v>8.1600000000000006E-2</v>
      </c>
      <c r="K132" s="20">
        <v>12</v>
      </c>
      <c r="L132" s="12">
        <f t="shared" si="5"/>
        <v>0.12</v>
      </c>
      <c r="M132" s="17">
        <v>6117100000</v>
      </c>
      <c r="N132" s="17" t="s">
        <v>6</v>
      </c>
      <c r="O132" s="3"/>
      <c r="P132" s="59">
        <v>0.12</v>
      </c>
      <c r="Q132" s="57">
        <v>0.01</v>
      </c>
    </row>
    <row r="133" spans="1:17" ht="39" x14ac:dyDescent="0.2">
      <c r="A133" s="19" t="s">
        <v>100</v>
      </c>
      <c r="B133" s="19" t="s">
        <v>615</v>
      </c>
      <c r="C133" s="17" t="s">
        <v>103</v>
      </c>
      <c r="D133" s="17">
        <v>100</v>
      </c>
      <c r="E133" s="17">
        <v>60</v>
      </c>
      <c r="F133" s="5" t="s">
        <v>159</v>
      </c>
      <c r="G133" s="17">
        <v>40</v>
      </c>
      <c r="H133" s="5" t="s">
        <v>159</v>
      </c>
      <c r="I133" s="17">
        <v>40</v>
      </c>
      <c r="J133" s="12">
        <f t="shared" si="4"/>
        <v>9.6000000000000002E-2</v>
      </c>
      <c r="K133" s="20">
        <v>12</v>
      </c>
      <c r="L133" s="12">
        <f t="shared" si="5"/>
        <v>0.12</v>
      </c>
      <c r="M133" s="17">
        <v>6116930000</v>
      </c>
      <c r="N133" s="17" t="s">
        <v>6</v>
      </c>
      <c r="O133" s="3"/>
      <c r="P133" s="62">
        <v>8.8999999999999996E-2</v>
      </c>
      <c r="Q133" s="57">
        <v>0.01</v>
      </c>
    </row>
    <row r="134" spans="1:17" x14ac:dyDescent="0.2">
      <c r="A134" s="19" t="s">
        <v>206</v>
      </c>
      <c r="B134" s="19" t="s">
        <v>615</v>
      </c>
      <c r="C134" s="17" t="s">
        <v>9</v>
      </c>
      <c r="D134" s="17">
        <v>100</v>
      </c>
      <c r="E134" s="17">
        <v>60</v>
      </c>
      <c r="F134" s="17" t="s">
        <v>159</v>
      </c>
      <c r="G134" s="17">
        <v>40</v>
      </c>
      <c r="H134" s="17" t="s">
        <v>159</v>
      </c>
      <c r="I134" s="17">
        <v>40</v>
      </c>
      <c r="J134" s="20">
        <f t="shared" si="4"/>
        <v>9.6000000000000002E-2</v>
      </c>
      <c r="K134" s="20">
        <v>11.5</v>
      </c>
      <c r="L134" s="20">
        <f t="shared" si="5"/>
        <v>0.115</v>
      </c>
      <c r="M134" s="121">
        <v>6116930000</v>
      </c>
      <c r="N134" s="17" t="s">
        <v>6</v>
      </c>
      <c r="O134" s="3"/>
      <c r="P134" s="62">
        <v>8.8999999999999996E-2</v>
      </c>
      <c r="Q134" s="57">
        <v>0.01</v>
      </c>
    </row>
    <row r="135" spans="1:17" x14ac:dyDescent="0.2">
      <c r="A135" s="19" t="s">
        <v>209</v>
      </c>
      <c r="B135" s="19" t="s">
        <v>210</v>
      </c>
      <c r="C135" s="17" t="s">
        <v>9</v>
      </c>
      <c r="D135" s="17">
        <v>100</v>
      </c>
      <c r="E135" s="17">
        <v>60</v>
      </c>
      <c r="F135" s="17" t="s">
        <v>159</v>
      </c>
      <c r="G135" s="17">
        <v>40</v>
      </c>
      <c r="H135" s="17" t="s">
        <v>159</v>
      </c>
      <c r="I135" s="17">
        <v>40</v>
      </c>
      <c r="J135" s="20">
        <f t="shared" si="4"/>
        <v>9.6000000000000002E-2</v>
      </c>
      <c r="K135" s="20">
        <v>11.5</v>
      </c>
      <c r="L135" s="20">
        <f t="shared" si="5"/>
        <v>0.115</v>
      </c>
      <c r="M135" s="5">
        <v>6505009090</v>
      </c>
      <c r="N135" s="17" t="s">
        <v>6</v>
      </c>
      <c r="O135" s="3"/>
      <c r="P135" s="62">
        <v>2.7E-2</v>
      </c>
      <c r="Q135" s="57">
        <v>0.01</v>
      </c>
    </row>
    <row r="136" spans="1:17" x14ac:dyDescent="0.2">
      <c r="A136" s="19" t="s">
        <v>211</v>
      </c>
      <c r="B136" s="19" t="s">
        <v>212</v>
      </c>
      <c r="C136" s="17" t="s">
        <v>9</v>
      </c>
      <c r="D136" s="17">
        <v>100</v>
      </c>
      <c r="E136" s="17">
        <v>60</v>
      </c>
      <c r="F136" s="17" t="s">
        <v>159</v>
      </c>
      <c r="G136" s="17">
        <v>40</v>
      </c>
      <c r="H136" s="17" t="s">
        <v>159</v>
      </c>
      <c r="I136" s="17">
        <v>35</v>
      </c>
      <c r="J136" s="20">
        <f t="shared" si="4"/>
        <v>8.4000000000000005E-2</v>
      </c>
      <c r="K136" s="20">
        <v>9.5</v>
      </c>
      <c r="L136" s="20">
        <f t="shared" si="5"/>
        <v>9.5000000000000001E-2</v>
      </c>
      <c r="M136" s="5">
        <v>6505009090</v>
      </c>
      <c r="N136" s="17" t="s">
        <v>6</v>
      </c>
      <c r="O136" s="3"/>
      <c r="P136" s="62">
        <v>2.7E-2</v>
      </c>
      <c r="Q136" s="57">
        <v>0.01</v>
      </c>
    </row>
    <row r="137" spans="1:17" x14ac:dyDescent="0.2">
      <c r="A137" s="206" t="s">
        <v>425</v>
      </c>
      <c r="B137" s="206" t="s">
        <v>671</v>
      </c>
      <c r="C137" s="5" t="s">
        <v>183</v>
      </c>
      <c r="D137" s="208">
        <v>10</v>
      </c>
      <c r="E137" s="5">
        <v>60</v>
      </c>
      <c r="F137" s="5" t="s">
        <v>159</v>
      </c>
      <c r="G137" s="5">
        <v>40</v>
      </c>
      <c r="H137" s="5" t="s">
        <v>159</v>
      </c>
      <c r="I137" s="5">
        <v>22</v>
      </c>
      <c r="J137" s="12">
        <f t="shared" si="4"/>
        <v>5.28E-2</v>
      </c>
      <c r="K137" s="190">
        <v>10.5</v>
      </c>
      <c r="L137" s="190">
        <v>0.98</v>
      </c>
      <c r="M137" s="208">
        <v>6210400000</v>
      </c>
      <c r="N137" s="208" t="s">
        <v>6</v>
      </c>
      <c r="O137" s="35">
        <v>0.12</v>
      </c>
      <c r="P137" s="59">
        <v>0.12</v>
      </c>
      <c r="Q137" s="57">
        <v>0.03</v>
      </c>
    </row>
    <row r="138" spans="1:17" x14ac:dyDescent="0.2">
      <c r="A138" s="206"/>
      <c r="B138" s="206"/>
      <c r="C138" s="5" t="s">
        <v>166</v>
      </c>
      <c r="D138" s="208"/>
      <c r="E138" s="5">
        <v>60</v>
      </c>
      <c r="F138" s="5" t="s">
        <v>159</v>
      </c>
      <c r="G138" s="5">
        <v>40</v>
      </c>
      <c r="H138" s="5" t="s">
        <v>159</v>
      </c>
      <c r="I138" s="5">
        <v>25</v>
      </c>
      <c r="J138" s="12">
        <f t="shared" si="4"/>
        <v>0.06</v>
      </c>
      <c r="K138" s="190"/>
      <c r="L138" s="190"/>
      <c r="M138" s="208"/>
      <c r="N138" s="208"/>
      <c r="O138" s="35"/>
      <c r="P138" s="61"/>
      <c r="Q138" s="57"/>
    </row>
    <row r="139" spans="1:17" x14ac:dyDescent="0.2">
      <c r="A139" s="206"/>
      <c r="B139" s="206"/>
      <c r="C139" s="5" t="s">
        <v>155</v>
      </c>
      <c r="D139" s="208"/>
      <c r="E139" s="5">
        <v>60</v>
      </c>
      <c r="F139" s="5" t="s">
        <v>159</v>
      </c>
      <c r="G139" s="5">
        <v>40</v>
      </c>
      <c r="H139" s="5" t="s">
        <v>159</v>
      </c>
      <c r="I139" s="5">
        <v>28</v>
      </c>
      <c r="J139" s="12">
        <f t="shared" si="4"/>
        <v>6.7199999999999996E-2</v>
      </c>
      <c r="K139" s="190"/>
      <c r="L139" s="190"/>
      <c r="M139" s="208"/>
      <c r="N139" s="208"/>
      <c r="O139" s="35"/>
      <c r="P139" s="61"/>
      <c r="Q139" s="57"/>
    </row>
    <row r="140" spans="1:17" x14ac:dyDescent="0.2">
      <c r="A140" s="4" t="s">
        <v>426</v>
      </c>
      <c r="B140" s="4" t="s">
        <v>672</v>
      </c>
      <c r="C140" s="5" t="s">
        <v>158</v>
      </c>
      <c r="D140" s="5">
        <v>10</v>
      </c>
      <c r="E140" s="5">
        <v>60</v>
      </c>
      <c r="F140" s="5" t="s">
        <v>159</v>
      </c>
      <c r="G140" s="5">
        <v>40</v>
      </c>
      <c r="H140" s="5" t="s">
        <v>159</v>
      </c>
      <c r="I140" s="5">
        <v>28</v>
      </c>
      <c r="J140" s="12">
        <f t="shared" si="4"/>
        <v>6.7199999999999996E-2</v>
      </c>
      <c r="K140" s="12">
        <v>10.5</v>
      </c>
      <c r="L140" s="12">
        <v>0.98</v>
      </c>
      <c r="M140" s="5">
        <v>6210400000</v>
      </c>
      <c r="N140" s="5" t="s">
        <v>6</v>
      </c>
      <c r="O140" s="35"/>
      <c r="P140" s="59">
        <v>0.12</v>
      </c>
      <c r="Q140" s="57">
        <v>0.03</v>
      </c>
    </row>
    <row r="141" spans="1:17" x14ac:dyDescent="0.2">
      <c r="A141" s="19" t="s">
        <v>213</v>
      </c>
      <c r="B141" s="19" t="s">
        <v>616</v>
      </c>
      <c r="C141" s="17" t="s">
        <v>9</v>
      </c>
      <c r="D141" s="17">
        <v>100</v>
      </c>
      <c r="E141" s="17">
        <v>60</v>
      </c>
      <c r="F141" s="17" t="s">
        <v>159</v>
      </c>
      <c r="G141" s="17">
        <v>40</v>
      </c>
      <c r="H141" s="17" t="s">
        <v>159</v>
      </c>
      <c r="I141" s="17">
        <v>30</v>
      </c>
      <c r="J141" s="20">
        <f t="shared" si="4"/>
        <v>7.1999999999999995E-2</v>
      </c>
      <c r="K141" s="20">
        <v>10.5</v>
      </c>
      <c r="L141" s="20">
        <f>K141/D141</f>
        <v>0.105</v>
      </c>
      <c r="M141" s="5">
        <v>6505009090</v>
      </c>
      <c r="N141" s="17" t="s">
        <v>6</v>
      </c>
      <c r="O141" s="3"/>
      <c r="P141" s="62">
        <v>2.7E-2</v>
      </c>
      <c r="Q141" s="57">
        <v>0.01</v>
      </c>
    </row>
    <row r="142" spans="1:17" x14ac:dyDescent="0.2">
      <c r="A142" s="19" t="s">
        <v>214</v>
      </c>
      <c r="B142" s="19" t="s">
        <v>617</v>
      </c>
      <c r="C142" s="17" t="s">
        <v>9</v>
      </c>
      <c r="D142" s="17">
        <v>100</v>
      </c>
      <c r="E142" s="17">
        <v>60</v>
      </c>
      <c r="F142" s="17" t="s">
        <v>159</v>
      </c>
      <c r="G142" s="17">
        <v>40</v>
      </c>
      <c r="H142" s="17" t="s">
        <v>159</v>
      </c>
      <c r="I142" s="17">
        <v>18</v>
      </c>
      <c r="J142" s="20">
        <f t="shared" si="4"/>
        <v>4.3200000000000002E-2</v>
      </c>
      <c r="K142" s="20">
        <v>4</v>
      </c>
      <c r="L142" s="20">
        <f>K142/D142</f>
        <v>0.04</v>
      </c>
      <c r="M142" s="5">
        <v>6505009090</v>
      </c>
      <c r="N142" s="17" t="s">
        <v>6</v>
      </c>
      <c r="O142" s="3"/>
      <c r="P142" s="59">
        <v>0.12</v>
      </c>
      <c r="Q142" s="57">
        <v>0.01</v>
      </c>
    </row>
    <row r="143" spans="1:17" x14ac:dyDescent="0.2">
      <c r="A143" s="19" t="s">
        <v>377</v>
      </c>
      <c r="B143" s="19" t="s">
        <v>378</v>
      </c>
      <c r="C143" s="17" t="s">
        <v>9</v>
      </c>
      <c r="D143" s="5">
        <v>150</v>
      </c>
      <c r="E143" s="17">
        <v>60</v>
      </c>
      <c r="F143" s="17" t="s">
        <v>159</v>
      </c>
      <c r="G143" s="17">
        <v>40</v>
      </c>
      <c r="H143" s="17" t="s">
        <v>159</v>
      </c>
      <c r="I143" s="17">
        <v>32</v>
      </c>
      <c r="J143" s="20">
        <f t="shared" si="4"/>
        <v>7.6799999999999993E-2</v>
      </c>
      <c r="K143" s="20">
        <v>11</v>
      </c>
      <c r="L143" s="20">
        <f>9/150</f>
        <v>0.06</v>
      </c>
      <c r="M143" s="5">
        <v>6505009090</v>
      </c>
      <c r="N143" s="17" t="s">
        <v>6</v>
      </c>
      <c r="O143" s="3"/>
      <c r="P143" s="62">
        <v>2.7E-2</v>
      </c>
      <c r="Q143" s="57">
        <v>0.01</v>
      </c>
    </row>
    <row r="144" spans="1:17" x14ac:dyDescent="0.2">
      <c r="A144" s="19" t="s">
        <v>379</v>
      </c>
      <c r="B144" s="19" t="s">
        <v>618</v>
      </c>
      <c r="C144" s="17" t="s">
        <v>7</v>
      </c>
      <c r="D144" s="5">
        <v>75</v>
      </c>
      <c r="E144" s="17">
        <v>60</v>
      </c>
      <c r="F144" s="17" t="s">
        <v>159</v>
      </c>
      <c r="G144" s="17">
        <v>40</v>
      </c>
      <c r="H144" s="17" t="s">
        <v>159</v>
      </c>
      <c r="I144" s="17">
        <v>58</v>
      </c>
      <c r="J144" s="20">
        <f t="shared" si="4"/>
        <v>0.13919999999999999</v>
      </c>
      <c r="K144" s="20">
        <v>12</v>
      </c>
      <c r="L144" s="20">
        <f>10/75</f>
        <v>0.13333333333333333</v>
      </c>
      <c r="M144" s="5">
        <v>6505009090</v>
      </c>
      <c r="N144" s="17" t="s">
        <v>6</v>
      </c>
      <c r="O144" s="3"/>
      <c r="P144" s="62">
        <v>2.7E-2</v>
      </c>
      <c r="Q144" s="57">
        <v>0.01</v>
      </c>
    </row>
    <row r="145" spans="1:17" x14ac:dyDescent="0.2">
      <c r="A145" s="4" t="s">
        <v>428</v>
      </c>
      <c r="B145" s="4" t="s">
        <v>429</v>
      </c>
      <c r="C145" s="5" t="s">
        <v>170</v>
      </c>
      <c r="D145" s="5">
        <v>25</v>
      </c>
      <c r="E145" s="5">
        <v>50</v>
      </c>
      <c r="F145" s="5" t="s">
        <v>159</v>
      </c>
      <c r="G145" s="5">
        <v>35</v>
      </c>
      <c r="H145" s="5" t="s">
        <v>159</v>
      </c>
      <c r="I145" s="5">
        <v>24</v>
      </c>
      <c r="J145" s="12">
        <f t="shared" si="4"/>
        <v>4.2000000000000003E-2</v>
      </c>
      <c r="K145" s="12">
        <v>11.5</v>
      </c>
      <c r="L145" s="12">
        <v>0.38</v>
      </c>
      <c r="M145" s="5">
        <v>6210400000</v>
      </c>
      <c r="N145" s="5" t="s">
        <v>6</v>
      </c>
      <c r="O145" s="35">
        <v>0.12</v>
      </c>
      <c r="P145" s="59">
        <v>0.12</v>
      </c>
      <c r="Q145" s="57">
        <v>0.03</v>
      </c>
    </row>
    <row r="146" spans="1:17" x14ac:dyDescent="0.2">
      <c r="A146" s="4" t="s">
        <v>427</v>
      </c>
      <c r="B146" s="4" t="s">
        <v>430</v>
      </c>
      <c r="C146" s="5" t="s">
        <v>168</v>
      </c>
      <c r="D146" s="5">
        <v>25</v>
      </c>
      <c r="E146" s="5">
        <v>60</v>
      </c>
      <c r="F146" s="5" t="s">
        <v>159</v>
      </c>
      <c r="G146" s="5">
        <v>40</v>
      </c>
      <c r="H146" s="5" t="s">
        <v>159</v>
      </c>
      <c r="I146" s="5">
        <v>22</v>
      </c>
      <c r="J146" s="12">
        <f t="shared" si="4"/>
        <v>5.28E-2</v>
      </c>
      <c r="K146" s="12">
        <v>12</v>
      </c>
      <c r="L146" s="12">
        <v>0.4</v>
      </c>
      <c r="M146" s="5">
        <v>6210400000</v>
      </c>
      <c r="N146" s="5" t="s">
        <v>6</v>
      </c>
      <c r="O146" s="35"/>
      <c r="P146" s="59">
        <v>0.12</v>
      </c>
      <c r="Q146" s="57">
        <v>0.03</v>
      </c>
    </row>
    <row r="147" spans="1:17" x14ac:dyDescent="0.2">
      <c r="A147" s="206" t="s">
        <v>67</v>
      </c>
      <c r="B147" s="206" t="s">
        <v>32</v>
      </c>
      <c r="C147" s="5" t="s">
        <v>184</v>
      </c>
      <c r="D147" s="208">
        <v>25</v>
      </c>
      <c r="E147" s="5">
        <v>60</v>
      </c>
      <c r="F147" s="5" t="s">
        <v>159</v>
      </c>
      <c r="G147" s="5">
        <v>40</v>
      </c>
      <c r="H147" s="5" t="s">
        <v>159</v>
      </c>
      <c r="I147" s="5">
        <v>25</v>
      </c>
      <c r="J147" s="12">
        <f t="shared" si="4"/>
        <v>0.06</v>
      </c>
      <c r="K147" s="190">
        <v>13</v>
      </c>
      <c r="L147" s="190">
        <v>0.44</v>
      </c>
      <c r="M147" s="208">
        <v>6210400000</v>
      </c>
      <c r="N147" s="208" t="s">
        <v>6</v>
      </c>
      <c r="O147" s="35">
        <v>0.12</v>
      </c>
      <c r="P147" s="59">
        <v>0.12</v>
      </c>
      <c r="Q147" s="57">
        <v>0.03</v>
      </c>
    </row>
    <row r="148" spans="1:17" x14ac:dyDescent="0.2">
      <c r="A148" s="206"/>
      <c r="B148" s="206"/>
      <c r="C148" s="5" t="s">
        <v>168</v>
      </c>
      <c r="D148" s="208"/>
      <c r="E148" s="5">
        <v>60</v>
      </c>
      <c r="F148" s="5" t="s">
        <v>159</v>
      </c>
      <c r="G148" s="5">
        <v>40</v>
      </c>
      <c r="H148" s="5" t="s">
        <v>159</v>
      </c>
      <c r="I148" s="5">
        <v>27</v>
      </c>
      <c r="J148" s="12">
        <f t="shared" si="4"/>
        <v>6.4799999999999996E-2</v>
      </c>
      <c r="K148" s="190"/>
      <c r="L148" s="190"/>
      <c r="M148" s="208"/>
      <c r="N148" s="208"/>
      <c r="O148" s="35"/>
      <c r="P148" s="61"/>
      <c r="Q148" s="57"/>
    </row>
    <row r="149" spans="1:17" x14ac:dyDescent="0.2">
      <c r="A149" s="4" t="s">
        <v>431</v>
      </c>
      <c r="B149" s="4" t="s">
        <v>433</v>
      </c>
      <c r="C149" s="5" t="s">
        <v>170</v>
      </c>
      <c r="D149" s="5">
        <v>25</v>
      </c>
      <c r="E149" s="5">
        <v>40</v>
      </c>
      <c r="F149" s="5" t="s">
        <v>159</v>
      </c>
      <c r="G149" s="5">
        <v>30</v>
      </c>
      <c r="H149" s="5" t="s">
        <v>159</v>
      </c>
      <c r="I149" s="5">
        <v>20</v>
      </c>
      <c r="J149" s="12">
        <f t="shared" si="4"/>
        <v>2.4E-2</v>
      </c>
      <c r="K149" s="12">
        <v>7.5</v>
      </c>
      <c r="L149" s="12">
        <v>0.26</v>
      </c>
      <c r="M149" s="5">
        <v>6210400000</v>
      </c>
      <c r="N149" s="5" t="s">
        <v>6</v>
      </c>
      <c r="O149" s="35">
        <v>0.12</v>
      </c>
      <c r="P149" s="59">
        <v>0.12</v>
      </c>
      <c r="Q149" s="57">
        <v>0.03</v>
      </c>
    </row>
    <row r="150" spans="1:17" x14ac:dyDescent="0.2">
      <c r="A150" s="4" t="s">
        <v>432</v>
      </c>
      <c r="B150" s="4" t="s">
        <v>434</v>
      </c>
      <c r="C150" s="5" t="s">
        <v>168</v>
      </c>
      <c r="D150" s="5">
        <v>25</v>
      </c>
      <c r="E150" s="5">
        <v>40</v>
      </c>
      <c r="F150" s="5" t="s">
        <v>159</v>
      </c>
      <c r="G150" s="5">
        <v>30</v>
      </c>
      <c r="H150" s="5" t="s">
        <v>159</v>
      </c>
      <c r="I150" s="5">
        <v>24</v>
      </c>
      <c r="J150" s="12">
        <f t="shared" si="4"/>
        <v>2.8799999999999999E-2</v>
      </c>
      <c r="K150" s="12">
        <v>7.5</v>
      </c>
      <c r="L150" s="12">
        <v>0.26</v>
      </c>
      <c r="M150" s="5">
        <v>6210400000</v>
      </c>
      <c r="N150" s="5" t="s">
        <v>6</v>
      </c>
      <c r="O150" s="35"/>
      <c r="P150" s="59">
        <v>0.12</v>
      </c>
      <c r="Q150" s="57">
        <v>0.03</v>
      </c>
    </row>
    <row r="151" spans="1:17" ht="39" x14ac:dyDescent="0.2">
      <c r="A151" s="4" t="s">
        <v>68</v>
      </c>
      <c r="B151" s="4" t="s">
        <v>33</v>
      </c>
      <c r="C151" s="5" t="s">
        <v>104</v>
      </c>
      <c r="D151" s="5">
        <v>25</v>
      </c>
      <c r="E151" s="5">
        <v>40</v>
      </c>
      <c r="F151" s="5" t="s">
        <v>159</v>
      </c>
      <c r="G151" s="5">
        <v>30</v>
      </c>
      <c r="H151" s="5" t="s">
        <v>159</v>
      </c>
      <c r="I151" s="5">
        <v>28</v>
      </c>
      <c r="J151" s="12">
        <f t="shared" si="4"/>
        <v>3.3599999999999998E-2</v>
      </c>
      <c r="K151" s="12">
        <v>10</v>
      </c>
      <c r="L151" s="12">
        <v>0.36</v>
      </c>
      <c r="M151" s="5">
        <v>6210400000</v>
      </c>
      <c r="N151" s="5" t="s">
        <v>6</v>
      </c>
      <c r="O151" s="35">
        <v>0.12</v>
      </c>
      <c r="P151" s="59">
        <v>0.12</v>
      </c>
      <c r="Q151" s="57">
        <v>0.03</v>
      </c>
    </row>
    <row r="152" spans="1:17" x14ac:dyDescent="0.2">
      <c r="A152" s="206" t="s">
        <v>69</v>
      </c>
      <c r="B152" s="206" t="s">
        <v>673</v>
      </c>
      <c r="C152" s="5" t="s">
        <v>170</v>
      </c>
      <c r="D152" s="208">
        <v>10</v>
      </c>
      <c r="E152" s="5">
        <v>60</v>
      </c>
      <c r="F152" s="5" t="s">
        <v>159</v>
      </c>
      <c r="G152" s="5">
        <v>40</v>
      </c>
      <c r="H152" s="5" t="s">
        <v>159</v>
      </c>
      <c r="I152" s="5">
        <v>45</v>
      </c>
      <c r="J152" s="12">
        <f t="shared" si="4"/>
        <v>0.108</v>
      </c>
      <c r="K152" s="190">
        <v>13.5</v>
      </c>
      <c r="L152" s="190">
        <v>1.2</v>
      </c>
      <c r="M152" s="208">
        <v>6201930000</v>
      </c>
      <c r="N152" s="208" t="s">
        <v>6</v>
      </c>
      <c r="O152" s="35">
        <v>0.12</v>
      </c>
      <c r="P152" s="59">
        <v>0.12</v>
      </c>
      <c r="Q152" s="57">
        <v>0.03</v>
      </c>
    </row>
    <row r="153" spans="1:17" x14ac:dyDescent="0.2">
      <c r="A153" s="206"/>
      <c r="B153" s="206"/>
      <c r="C153" s="5" t="s">
        <v>158</v>
      </c>
      <c r="D153" s="208"/>
      <c r="E153" s="5">
        <v>60</v>
      </c>
      <c r="F153" s="5" t="s">
        <v>159</v>
      </c>
      <c r="G153" s="5">
        <v>40</v>
      </c>
      <c r="H153" s="5" t="s">
        <v>159</v>
      </c>
      <c r="I153" s="5">
        <v>50</v>
      </c>
      <c r="J153" s="12">
        <f t="shared" si="4"/>
        <v>0.12</v>
      </c>
      <c r="K153" s="190"/>
      <c r="L153" s="190"/>
      <c r="M153" s="208"/>
      <c r="N153" s="208"/>
      <c r="O153" s="35"/>
      <c r="P153" s="61"/>
      <c r="Q153" s="57"/>
    </row>
    <row r="154" spans="1:17" x14ac:dyDescent="0.2">
      <c r="A154" s="19" t="s">
        <v>380</v>
      </c>
      <c r="B154" s="19" t="s">
        <v>381</v>
      </c>
      <c r="C154" s="17" t="s">
        <v>7</v>
      </c>
      <c r="D154" s="5">
        <v>75</v>
      </c>
      <c r="E154" s="17">
        <v>60</v>
      </c>
      <c r="F154" s="17" t="s">
        <v>159</v>
      </c>
      <c r="G154" s="17">
        <v>30</v>
      </c>
      <c r="H154" s="17" t="s">
        <v>159</v>
      </c>
      <c r="I154" s="17">
        <v>43</v>
      </c>
      <c r="J154" s="20">
        <f t="shared" si="4"/>
        <v>7.7399999999999997E-2</v>
      </c>
      <c r="K154" s="20">
        <v>12</v>
      </c>
      <c r="L154" s="20">
        <v>0.13333333333333333</v>
      </c>
      <c r="M154" s="5">
        <v>6505009090</v>
      </c>
      <c r="N154" s="17" t="s">
        <v>6</v>
      </c>
      <c r="O154" s="3"/>
      <c r="P154" s="62">
        <v>2.7E-2</v>
      </c>
      <c r="Q154" s="57">
        <v>0.01</v>
      </c>
    </row>
    <row r="155" spans="1:17" x14ac:dyDescent="0.2">
      <c r="A155" s="19" t="s">
        <v>382</v>
      </c>
      <c r="B155" s="19" t="s">
        <v>619</v>
      </c>
      <c r="C155" s="17" t="s">
        <v>9</v>
      </c>
      <c r="D155" s="5">
        <v>100</v>
      </c>
      <c r="E155" s="17">
        <v>60</v>
      </c>
      <c r="F155" s="17" t="s">
        <v>159</v>
      </c>
      <c r="G155" s="17">
        <v>40</v>
      </c>
      <c r="H155" s="17" t="s">
        <v>159</v>
      </c>
      <c r="I155" s="17">
        <v>46</v>
      </c>
      <c r="J155" s="20">
        <f t="shared" si="4"/>
        <v>0.1104</v>
      </c>
      <c r="K155" s="20">
        <v>12</v>
      </c>
      <c r="L155" s="20">
        <v>0.1</v>
      </c>
      <c r="M155" s="5">
        <v>6505009090</v>
      </c>
      <c r="N155" s="17" t="s">
        <v>6</v>
      </c>
      <c r="O155" s="3"/>
      <c r="P155" s="62">
        <v>2.7E-2</v>
      </c>
      <c r="Q155" s="57">
        <v>0.01</v>
      </c>
    </row>
    <row r="156" spans="1:17" x14ac:dyDescent="0.2">
      <c r="A156" s="206" t="s">
        <v>436</v>
      </c>
      <c r="B156" s="206" t="s">
        <v>674</v>
      </c>
      <c r="C156" s="5" t="s">
        <v>185</v>
      </c>
      <c r="D156" s="208">
        <v>20</v>
      </c>
      <c r="E156" s="5">
        <v>60</v>
      </c>
      <c r="F156" s="5" t="s">
        <v>159</v>
      </c>
      <c r="G156" s="5">
        <v>40</v>
      </c>
      <c r="H156" s="5" t="s">
        <v>159</v>
      </c>
      <c r="I156" s="5">
        <v>35</v>
      </c>
      <c r="J156" s="12">
        <f t="shared" si="4"/>
        <v>8.4000000000000005E-2</v>
      </c>
      <c r="K156" s="190">
        <v>21.5</v>
      </c>
      <c r="L156" s="190">
        <v>1</v>
      </c>
      <c r="M156" s="208">
        <v>6210400000</v>
      </c>
      <c r="N156" s="208" t="s">
        <v>6</v>
      </c>
      <c r="O156" s="35">
        <v>0.12</v>
      </c>
      <c r="P156" s="59">
        <v>0.12</v>
      </c>
      <c r="Q156" s="57">
        <v>0.03</v>
      </c>
    </row>
    <row r="157" spans="1:17" x14ac:dyDescent="0.2">
      <c r="A157" s="206"/>
      <c r="B157" s="206"/>
      <c r="C157" s="5" t="s">
        <v>166</v>
      </c>
      <c r="D157" s="208"/>
      <c r="E157" s="5">
        <v>60</v>
      </c>
      <c r="F157" s="5" t="s">
        <v>159</v>
      </c>
      <c r="G157" s="5">
        <v>40</v>
      </c>
      <c r="H157" s="5" t="s">
        <v>159</v>
      </c>
      <c r="I157" s="5">
        <v>40</v>
      </c>
      <c r="J157" s="12">
        <f t="shared" si="4"/>
        <v>9.6000000000000002E-2</v>
      </c>
      <c r="K157" s="190"/>
      <c r="L157" s="190"/>
      <c r="M157" s="208"/>
      <c r="N157" s="208"/>
      <c r="O157" s="35"/>
      <c r="P157" s="61"/>
      <c r="Q157" s="57"/>
    </row>
    <row r="158" spans="1:17" x14ac:dyDescent="0.2">
      <c r="A158" s="206"/>
      <c r="B158" s="206"/>
      <c r="C158" s="5" t="s">
        <v>155</v>
      </c>
      <c r="D158" s="208"/>
      <c r="E158" s="5">
        <v>60</v>
      </c>
      <c r="F158" s="5" t="s">
        <v>159</v>
      </c>
      <c r="G158" s="5">
        <v>40</v>
      </c>
      <c r="H158" s="5" t="s">
        <v>159</v>
      </c>
      <c r="I158" s="5">
        <v>53</v>
      </c>
      <c r="J158" s="12">
        <f t="shared" ref="J158:J189" si="6">+E158*G158*I158/1000000</f>
        <v>0.12720000000000001</v>
      </c>
      <c r="K158" s="190"/>
      <c r="L158" s="190"/>
      <c r="M158" s="208"/>
      <c r="N158" s="208"/>
      <c r="O158" s="35"/>
      <c r="P158" s="61"/>
      <c r="Q158" s="57"/>
    </row>
    <row r="159" spans="1:17" x14ac:dyDescent="0.2">
      <c r="A159" s="4" t="s">
        <v>435</v>
      </c>
      <c r="B159" s="4" t="s">
        <v>675</v>
      </c>
      <c r="C159" s="5" t="s">
        <v>158</v>
      </c>
      <c r="D159" s="5">
        <v>20</v>
      </c>
      <c r="E159" s="5">
        <v>60</v>
      </c>
      <c r="F159" s="5" t="s">
        <v>159</v>
      </c>
      <c r="G159" s="5">
        <v>40</v>
      </c>
      <c r="H159" s="5" t="s">
        <v>159</v>
      </c>
      <c r="I159" s="5">
        <v>53</v>
      </c>
      <c r="J159" s="12">
        <f t="shared" si="6"/>
        <v>0.12720000000000001</v>
      </c>
      <c r="K159" s="12">
        <v>21.5</v>
      </c>
      <c r="L159" s="12">
        <v>1</v>
      </c>
      <c r="M159" s="5">
        <v>6210400000</v>
      </c>
      <c r="N159" s="5" t="s">
        <v>6</v>
      </c>
      <c r="O159" s="35"/>
      <c r="P159" s="59">
        <v>0.12</v>
      </c>
      <c r="Q159" s="57">
        <v>0.03</v>
      </c>
    </row>
    <row r="160" spans="1:17" x14ac:dyDescent="0.2">
      <c r="A160" s="206" t="s">
        <v>70</v>
      </c>
      <c r="B160" s="214" t="s">
        <v>676</v>
      </c>
      <c r="C160" s="5" t="s">
        <v>186</v>
      </c>
      <c r="D160" s="208">
        <v>10</v>
      </c>
      <c r="E160" s="5">
        <v>60</v>
      </c>
      <c r="F160" s="5" t="s">
        <v>159</v>
      </c>
      <c r="G160" s="5">
        <v>40</v>
      </c>
      <c r="H160" s="5" t="s">
        <v>159</v>
      </c>
      <c r="I160" s="5">
        <v>30</v>
      </c>
      <c r="J160" s="12">
        <f t="shared" si="6"/>
        <v>7.1999999999999995E-2</v>
      </c>
      <c r="K160" s="190">
        <v>13.5</v>
      </c>
      <c r="L160" s="190">
        <v>1.2</v>
      </c>
      <c r="M160" s="208">
        <v>6210400000</v>
      </c>
      <c r="N160" s="208" t="s">
        <v>6</v>
      </c>
      <c r="O160" s="35">
        <v>0.12</v>
      </c>
      <c r="P160" s="59">
        <v>0.12</v>
      </c>
      <c r="Q160" s="57">
        <v>0.03</v>
      </c>
    </row>
    <row r="161" spans="1:17" x14ac:dyDescent="0.2">
      <c r="A161" s="206"/>
      <c r="B161" s="215"/>
      <c r="C161" s="5" t="s">
        <v>167</v>
      </c>
      <c r="D161" s="208"/>
      <c r="E161" s="5">
        <v>60</v>
      </c>
      <c r="F161" s="5" t="s">
        <v>159</v>
      </c>
      <c r="G161" s="5">
        <v>40</v>
      </c>
      <c r="H161" s="5" t="s">
        <v>159</v>
      </c>
      <c r="I161" s="5">
        <v>34</v>
      </c>
      <c r="J161" s="12">
        <f t="shared" si="6"/>
        <v>8.1600000000000006E-2</v>
      </c>
      <c r="K161" s="190"/>
      <c r="L161" s="190"/>
      <c r="M161" s="208"/>
      <c r="N161" s="208"/>
      <c r="O161" s="35"/>
      <c r="P161" s="61"/>
      <c r="Q161" s="57"/>
    </row>
    <row r="162" spans="1:17" x14ac:dyDescent="0.2">
      <c r="A162" s="19" t="s">
        <v>383</v>
      </c>
      <c r="B162" s="19" t="s">
        <v>620</v>
      </c>
      <c r="C162" s="17" t="s">
        <v>9</v>
      </c>
      <c r="D162" s="5">
        <v>150</v>
      </c>
      <c r="E162" s="17">
        <v>60</v>
      </c>
      <c r="F162" s="17" t="s">
        <v>159</v>
      </c>
      <c r="G162" s="17">
        <v>40</v>
      </c>
      <c r="H162" s="17" t="s">
        <v>159</v>
      </c>
      <c r="I162" s="17">
        <v>46</v>
      </c>
      <c r="J162" s="20">
        <f t="shared" si="6"/>
        <v>0.1104</v>
      </c>
      <c r="K162" s="20">
        <v>11</v>
      </c>
      <c r="L162" s="20">
        <v>0.06</v>
      </c>
      <c r="M162" s="5">
        <v>6505009090</v>
      </c>
      <c r="N162" s="17" t="s">
        <v>6</v>
      </c>
      <c r="O162" s="3"/>
      <c r="P162" s="62">
        <v>2.7E-2</v>
      </c>
      <c r="Q162" s="57">
        <v>0.01</v>
      </c>
    </row>
    <row r="163" spans="1:17" x14ac:dyDescent="0.2">
      <c r="A163" s="19" t="s">
        <v>384</v>
      </c>
      <c r="B163" s="19" t="s">
        <v>385</v>
      </c>
      <c r="C163" s="17" t="s">
        <v>7</v>
      </c>
      <c r="D163" s="5">
        <v>75</v>
      </c>
      <c r="E163" s="17">
        <v>60</v>
      </c>
      <c r="F163" s="17" t="s">
        <v>159</v>
      </c>
      <c r="G163" s="17">
        <v>40</v>
      </c>
      <c r="H163" s="17" t="s">
        <v>159</v>
      </c>
      <c r="I163" s="17">
        <v>42</v>
      </c>
      <c r="J163" s="20">
        <f t="shared" si="6"/>
        <v>0.1008</v>
      </c>
      <c r="K163" s="20">
        <v>11</v>
      </c>
      <c r="L163" s="20">
        <v>0.12</v>
      </c>
      <c r="M163" s="5">
        <v>6505009090</v>
      </c>
      <c r="N163" s="17" t="s">
        <v>6</v>
      </c>
      <c r="O163" s="3"/>
      <c r="P163" s="62">
        <v>2.7E-2</v>
      </c>
      <c r="Q163" s="57">
        <v>0.01</v>
      </c>
    </row>
    <row r="164" spans="1:17" x14ac:dyDescent="0.2">
      <c r="A164" s="19" t="s">
        <v>386</v>
      </c>
      <c r="B164" s="19" t="s">
        <v>387</v>
      </c>
      <c r="C164" s="17" t="s">
        <v>9</v>
      </c>
      <c r="D164" s="5">
        <v>150</v>
      </c>
      <c r="E164" s="17">
        <v>60</v>
      </c>
      <c r="F164" s="17" t="s">
        <v>159</v>
      </c>
      <c r="G164" s="17">
        <v>40</v>
      </c>
      <c r="H164" s="17" t="s">
        <v>159</v>
      </c>
      <c r="I164" s="17">
        <v>30</v>
      </c>
      <c r="J164" s="20">
        <f t="shared" si="6"/>
        <v>7.1999999999999995E-2</v>
      </c>
      <c r="K164" s="20">
        <v>9</v>
      </c>
      <c r="L164" s="20">
        <v>4.6666666666666669E-2</v>
      </c>
      <c r="M164" s="5">
        <v>6505009090</v>
      </c>
      <c r="N164" s="17" t="s">
        <v>6</v>
      </c>
      <c r="O164" s="3"/>
      <c r="P164" s="62">
        <v>2.7E-2</v>
      </c>
      <c r="Q164" s="57">
        <v>0.01</v>
      </c>
    </row>
    <row r="165" spans="1:17" x14ac:dyDescent="0.2">
      <c r="A165" s="213" t="s">
        <v>101</v>
      </c>
      <c r="B165" s="213" t="s">
        <v>685</v>
      </c>
      <c r="C165" s="17" t="s">
        <v>170</v>
      </c>
      <c r="D165" s="195">
        <v>10</v>
      </c>
      <c r="E165" s="17">
        <v>60</v>
      </c>
      <c r="F165" s="5" t="s">
        <v>159</v>
      </c>
      <c r="G165" s="17">
        <v>40</v>
      </c>
      <c r="H165" s="5" t="s">
        <v>159</v>
      </c>
      <c r="I165" s="17">
        <v>39</v>
      </c>
      <c r="J165" s="12">
        <f t="shared" si="6"/>
        <v>9.3600000000000003E-2</v>
      </c>
      <c r="K165" s="196">
        <v>8</v>
      </c>
      <c r="L165" s="196">
        <f>6.5/10</f>
        <v>0.65</v>
      </c>
      <c r="M165" s="195">
        <v>6210400000</v>
      </c>
      <c r="N165" s="195" t="s">
        <v>6</v>
      </c>
      <c r="O165" s="36">
        <v>0.12</v>
      </c>
      <c r="P165" s="59">
        <v>0.12</v>
      </c>
      <c r="Q165" s="57">
        <v>0.03</v>
      </c>
    </row>
    <row r="166" spans="1:17" x14ac:dyDescent="0.2">
      <c r="A166" s="213"/>
      <c r="B166" s="213"/>
      <c r="C166" s="17" t="s">
        <v>158</v>
      </c>
      <c r="D166" s="195"/>
      <c r="E166" s="17">
        <v>60</v>
      </c>
      <c r="F166" s="5" t="s">
        <v>159</v>
      </c>
      <c r="G166" s="17">
        <v>40</v>
      </c>
      <c r="H166" s="5" t="s">
        <v>159</v>
      </c>
      <c r="I166" s="17">
        <v>45</v>
      </c>
      <c r="J166" s="12">
        <f t="shared" si="6"/>
        <v>0.108</v>
      </c>
      <c r="K166" s="196"/>
      <c r="L166" s="196"/>
      <c r="M166" s="195"/>
      <c r="N166" s="195"/>
      <c r="O166" s="36"/>
      <c r="P166" s="61"/>
      <c r="Q166" s="57"/>
    </row>
    <row r="167" spans="1:17" x14ac:dyDescent="0.2">
      <c r="A167" s="19" t="s">
        <v>102</v>
      </c>
      <c r="B167" s="19" t="s">
        <v>677</v>
      </c>
      <c r="C167" s="17" t="s">
        <v>8</v>
      </c>
      <c r="D167" s="17">
        <v>10</v>
      </c>
      <c r="E167" s="17">
        <v>60</v>
      </c>
      <c r="F167" s="5" t="s">
        <v>159</v>
      </c>
      <c r="G167" s="17">
        <v>40</v>
      </c>
      <c r="H167" s="5" t="s">
        <v>159</v>
      </c>
      <c r="I167" s="17">
        <v>30</v>
      </c>
      <c r="J167" s="12">
        <f t="shared" si="6"/>
        <v>7.1999999999999995E-2</v>
      </c>
      <c r="K167" s="20">
        <v>8</v>
      </c>
      <c r="L167" s="20">
        <f>6.5/10</f>
        <v>0.65</v>
      </c>
      <c r="M167" s="17">
        <v>6210500000</v>
      </c>
      <c r="N167" s="17" t="s">
        <v>6</v>
      </c>
      <c r="O167" s="36">
        <v>0.12</v>
      </c>
      <c r="P167" s="59">
        <v>0.12</v>
      </c>
      <c r="Q167" s="57">
        <v>0.03</v>
      </c>
    </row>
    <row r="168" spans="1:17" s="18" customFormat="1" x14ac:dyDescent="0.2">
      <c r="A168" s="197" t="s">
        <v>731</v>
      </c>
      <c r="B168" s="197" t="s">
        <v>732</v>
      </c>
      <c r="C168" s="17" t="s">
        <v>169</v>
      </c>
      <c r="D168" s="188">
        <v>20</v>
      </c>
      <c r="E168" s="17">
        <v>34</v>
      </c>
      <c r="F168" s="17" t="s">
        <v>159</v>
      </c>
      <c r="G168" s="17">
        <v>32</v>
      </c>
      <c r="H168" s="17" t="s">
        <v>159</v>
      </c>
      <c r="I168" s="17">
        <v>22</v>
      </c>
      <c r="J168" s="20">
        <f t="shared" si="6"/>
        <v>2.3935999999999999E-2</v>
      </c>
      <c r="K168" s="20">
        <v>6.5</v>
      </c>
      <c r="L168" s="20">
        <f>5.5/20</f>
        <v>0.27500000000000002</v>
      </c>
      <c r="M168" s="188">
        <v>6210400000</v>
      </c>
      <c r="N168" s="188" t="s">
        <v>6</v>
      </c>
      <c r="O168" s="36"/>
      <c r="P168" s="70">
        <v>0.12</v>
      </c>
      <c r="Q168" s="71">
        <v>0.03</v>
      </c>
    </row>
    <row r="169" spans="1:17" s="18" customFormat="1" x14ac:dyDescent="0.2">
      <c r="A169" s="198"/>
      <c r="B169" s="198"/>
      <c r="C169" s="17" t="s">
        <v>158</v>
      </c>
      <c r="D169" s="189"/>
      <c r="E169" s="17">
        <v>34</v>
      </c>
      <c r="F169" s="17" t="s">
        <v>159</v>
      </c>
      <c r="G169" s="17">
        <v>32</v>
      </c>
      <c r="H169" s="17" t="s">
        <v>159</v>
      </c>
      <c r="I169" s="17">
        <v>24</v>
      </c>
      <c r="J169" s="20">
        <f t="shared" si="6"/>
        <v>2.6112E-2</v>
      </c>
      <c r="K169" s="20">
        <v>7.1</v>
      </c>
      <c r="L169" s="20">
        <f>6.1/20</f>
        <v>0.30499999999999999</v>
      </c>
      <c r="M169" s="189"/>
      <c r="N169" s="189"/>
      <c r="O169" s="36"/>
      <c r="P169" s="70"/>
      <c r="Q169" s="71"/>
    </row>
    <row r="170" spans="1:17" x14ac:dyDescent="0.2">
      <c r="A170" s="108" t="s">
        <v>1009</v>
      </c>
      <c r="B170" s="108" t="s">
        <v>1010</v>
      </c>
      <c r="C170" s="106" t="s">
        <v>23</v>
      </c>
      <c r="D170" s="106">
        <v>10</v>
      </c>
      <c r="E170" s="106">
        <v>60</v>
      </c>
      <c r="F170" s="107" t="s">
        <v>159</v>
      </c>
      <c r="G170" s="106">
        <v>40</v>
      </c>
      <c r="H170" s="107" t="s">
        <v>159</v>
      </c>
      <c r="I170" s="106">
        <v>66</v>
      </c>
      <c r="J170" s="110">
        <f t="shared" si="6"/>
        <v>0.15840000000000001</v>
      </c>
      <c r="K170" s="111">
        <v>9.5</v>
      </c>
      <c r="L170" s="109">
        <v>0.8</v>
      </c>
      <c r="M170" s="106">
        <v>6201930000</v>
      </c>
      <c r="N170" s="106" t="s">
        <v>6</v>
      </c>
      <c r="O170" s="36">
        <v>0.12</v>
      </c>
      <c r="P170" s="59">
        <v>0.12</v>
      </c>
      <c r="Q170" s="57">
        <v>0.03</v>
      </c>
    </row>
    <row r="171" spans="1:17" x14ac:dyDescent="0.2">
      <c r="A171" s="197" t="s">
        <v>451</v>
      </c>
      <c r="B171" s="197" t="s">
        <v>476</v>
      </c>
      <c r="C171" s="17" t="s">
        <v>7</v>
      </c>
      <c r="D171" s="188">
        <v>10</v>
      </c>
      <c r="E171" s="17">
        <v>60</v>
      </c>
      <c r="F171" s="17" t="s">
        <v>159</v>
      </c>
      <c r="G171" s="17">
        <v>40</v>
      </c>
      <c r="H171" s="17" t="s">
        <v>159</v>
      </c>
      <c r="I171" s="17">
        <v>26</v>
      </c>
      <c r="J171" s="20">
        <f t="shared" si="6"/>
        <v>6.2399999999999997E-2</v>
      </c>
      <c r="K171" s="191">
        <v>5.9</v>
      </c>
      <c r="L171" s="191">
        <v>0.54</v>
      </c>
      <c r="M171" s="188">
        <v>6201930000</v>
      </c>
      <c r="N171" s="188" t="s">
        <v>6</v>
      </c>
      <c r="O171" s="36"/>
      <c r="P171" s="59">
        <v>0.12</v>
      </c>
      <c r="Q171" s="57">
        <v>0.03</v>
      </c>
    </row>
    <row r="172" spans="1:17" x14ac:dyDescent="0.2">
      <c r="A172" s="198"/>
      <c r="B172" s="198"/>
      <c r="C172" s="17" t="s">
        <v>168</v>
      </c>
      <c r="D172" s="189"/>
      <c r="E172" s="17">
        <v>60</v>
      </c>
      <c r="F172" s="17" t="s">
        <v>159</v>
      </c>
      <c r="G172" s="17">
        <v>40</v>
      </c>
      <c r="H172" s="17" t="s">
        <v>159</v>
      </c>
      <c r="I172" s="17">
        <v>31</v>
      </c>
      <c r="J172" s="20">
        <f t="shared" si="6"/>
        <v>7.4399999999999994E-2</v>
      </c>
      <c r="K172" s="192"/>
      <c r="L172" s="192"/>
      <c r="M172" s="189"/>
      <c r="N172" s="189"/>
      <c r="O172" s="36"/>
      <c r="P172" s="61"/>
      <c r="Q172" s="57"/>
    </row>
    <row r="173" spans="1:17" x14ac:dyDescent="0.2">
      <c r="A173" s="197" t="s">
        <v>450</v>
      </c>
      <c r="B173" s="197" t="s">
        <v>678</v>
      </c>
      <c r="C173" s="17" t="s">
        <v>169</v>
      </c>
      <c r="D173" s="188">
        <v>10</v>
      </c>
      <c r="E173" s="17">
        <v>60</v>
      </c>
      <c r="F173" s="17" t="s">
        <v>159</v>
      </c>
      <c r="G173" s="17">
        <v>40</v>
      </c>
      <c r="H173" s="17" t="s">
        <v>159</v>
      </c>
      <c r="I173" s="17">
        <v>26</v>
      </c>
      <c r="J173" s="20">
        <f t="shared" si="6"/>
        <v>6.2399999999999997E-2</v>
      </c>
      <c r="K173" s="191">
        <v>5.5</v>
      </c>
      <c r="L173" s="191">
        <v>0.5</v>
      </c>
      <c r="M173" s="188">
        <v>6202930000</v>
      </c>
      <c r="N173" s="188" t="s">
        <v>6</v>
      </c>
      <c r="O173" s="36"/>
      <c r="P173" s="59">
        <v>0.12</v>
      </c>
      <c r="Q173" s="57">
        <v>0.03</v>
      </c>
    </row>
    <row r="174" spans="1:17" x14ac:dyDescent="0.2">
      <c r="A174" s="198"/>
      <c r="B174" s="198"/>
      <c r="C174" s="17" t="s">
        <v>171</v>
      </c>
      <c r="D174" s="189"/>
      <c r="E174" s="17">
        <v>60</v>
      </c>
      <c r="F174" s="17" t="s">
        <v>159</v>
      </c>
      <c r="G174" s="17">
        <v>40</v>
      </c>
      <c r="H174" s="17" t="s">
        <v>159</v>
      </c>
      <c r="I174" s="17">
        <v>31</v>
      </c>
      <c r="J174" s="20">
        <f t="shared" si="6"/>
        <v>7.4399999999999994E-2</v>
      </c>
      <c r="K174" s="192"/>
      <c r="L174" s="192"/>
      <c r="M174" s="189"/>
      <c r="N174" s="189"/>
      <c r="O174" s="36"/>
      <c r="P174" s="61"/>
      <c r="Q174" s="57"/>
    </row>
    <row r="175" spans="1:17" x14ac:dyDescent="0.2">
      <c r="A175" s="197" t="s">
        <v>516</v>
      </c>
      <c r="B175" s="197" t="s">
        <v>517</v>
      </c>
      <c r="C175" s="17" t="s">
        <v>525</v>
      </c>
      <c r="D175" s="188">
        <v>10</v>
      </c>
      <c r="E175" s="17">
        <v>53</v>
      </c>
      <c r="F175" s="17" t="s">
        <v>159</v>
      </c>
      <c r="G175" s="17">
        <v>23</v>
      </c>
      <c r="H175" s="17" t="s">
        <v>159</v>
      </c>
      <c r="I175" s="17">
        <v>21</v>
      </c>
      <c r="J175" s="20">
        <f t="shared" si="6"/>
        <v>2.5599E-2</v>
      </c>
      <c r="K175" s="20">
        <v>5.2</v>
      </c>
      <c r="L175" s="20">
        <f>4.2/10</f>
        <v>0.42000000000000004</v>
      </c>
      <c r="M175" s="188">
        <v>6201930000</v>
      </c>
      <c r="N175" s="188" t="s">
        <v>6</v>
      </c>
      <c r="O175" s="36"/>
      <c r="P175" s="59">
        <v>0.12</v>
      </c>
      <c r="Q175" s="57">
        <v>0.03</v>
      </c>
    </row>
    <row r="176" spans="1:17" x14ac:dyDescent="0.2">
      <c r="A176" s="204"/>
      <c r="B176" s="204"/>
      <c r="C176" s="17" t="s">
        <v>526</v>
      </c>
      <c r="D176" s="194"/>
      <c r="E176" s="17">
        <v>60</v>
      </c>
      <c r="F176" s="17" t="s">
        <v>159</v>
      </c>
      <c r="G176" s="17">
        <v>40</v>
      </c>
      <c r="H176" s="17" t="s">
        <v>159</v>
      </c>
      <c r="I176" s="17">
        <v>15</v>
      </c>
      <c r="J176" s="20">
        <f t="shared" si="6"/>
        <v>3.5999999999999997E-2</v>
      </c>
      <c r="K176" s="20">
        <v>5.5</v>
      </c>
      <c r="L176" s="20">
        <f>4.5/10</f>
        <v>0.45</v>
      </c>
      <c r="M176" s="194"/>
      <c r="N176" s="194"/>
      <c r="O176" s="36"/>
      <c r="P176" s="61"/>
      <c r="Q176" s="57"/>
    </row>
    <row r="177" spans="1:17" x14ac:dyDescent="0.2">
      <c r="A177" s="198"/>
      <c r="B177" s="198"/>
      <c r="C177" s="17" t="s">
        <v>162</v>
      </c>
      <c r="D177" s="189"/>
      <c r="E177" s="17">
        <v>60</v>
      </c>
      <c r="F177" s="17" t="s">
        <v>159</v>
      </c>
      <c r="G177" s="17">
        <v>40</v>
      </c>
      <c r="H177" s="17" t="s">
        <v>159</v>
      </c>
      <c r="I177" s="17">
        <v>23</v>
      </c>
      <c r="J177" s="20">
        <f t="shared" si="6"/>
        <v>5.5199999999999999E-2</v>
      </c>
      <c r="K177" s="20">
        <v>6.25</v>
      </c>
      <c r="L177" s="20">
        <v>0.52500000000000002</v>
      </c>
      <c r="M177" s="189"/>
      <c r="N177" s="189"/>
      <c r="O177" s="36"/>
      <c r="P177" s="61"/>
      <c r="Q177" s="57"/>
    </row>
    <row r="178" spans="1:17" x14ac:dyDescent="0.2">
      <c r="A178" s="197" t="s">
        <v>515</v>
      </c>
      <c r="B178" s="197" t="s">
        <v>924</v>
      </c>
      <c r="C178" s="17" t="s">
        <v>175</v>
      </c>
      <c r="D178" s="188">
        <v>10</v>
      </c>
      <c r="E178" s="17">
        <v>53</v>
      </c>
      <c r="F178" s="17" t="s">
        <v>159</v>
      </c>
      <c r="G178" s="17">
        <v>35</v>
      </c>
      <c r="H178" s="17" t="s">
        <v>159</v>
      </c>
      <c r="I178" s="17">
        <v>21</v>
      </c>
      <c r="J178" s="20">
        <f t="shared" si="6"/>
        <v>3.8954999999999997E-2</v>
      </c>
      <c r="K178" s="20">
        <v>5.0999999999999996</v>
      </c>
      <c r="L178" s="20">
        <v>0.41</v>
      </c>
      <c r="M178" s="188">
        <v>6202930000</v>
      </c>
      <c r="N178" s="188" t="s">
        <v>6</v>
      </c>
      <c r="O178" s="36"/>
      <c r="P178" s="59">
        <v>0.12</v>
      </c>
      <c r="Q178" s="57">
        <v>0.03</v>
      </c>
    </row>
    <row r="179" spans="1:17" x14ac:dyDescent="0.2">
      <c r="A179" s="204"/>
      <c r="B179" s="204"/>
      <c r="C179" s="17" t="s">
        <v>526</v>
      </c>
      <c r="D179" s="194"/>
      <c r="E179" s="17">
        <v>60</v>
      </c>
      <c r="F179" s="17" t="s">
        <v>159</v>
      </c>
      <c r="G179" s="17">
        <v>40</v>
      </c>
      <c r="H179" s="17" t="s">
        <v>159</v>
      </c>
      <c r="I179" s="17">
        <v>15</v>
      </c>
      <c r="J179" s="20">
        <f t="shared" si="6"/>
        <v>3.5999999999999997E-2</v>
      </c>
      <c r="K179" s="20">
        <v>5.4</v>
      </c>
      <c r="L179" s="20">
        <v>0.44</v>
      </c>
      <c r="M179" s="194"/>
      <c r="N179" s="194"/>
      <c r="O179" s="36"/>
      <c r="P179" s="61"/>
      <c r="Q179" s="57"/>
    </row>
    <row r="180" spans="1:17" x14ac:dyDescent="0.2">
      <c r="A180" s="198"/>
      <c r="B180" s="198"/>
      <c r="C180" s="17" t="s">
        <v>107</v>
      </c>
      <c r="D180" s="189"/>
      <c r="E180" s="17">
        <v>60</v>
      </c>
      <c r="F180" s="17" t="s">
        <v>159</v>
      </c>
      <c r="G180" s="17">
        <v>40</v>
      </c>
      <c r="H180" s="17" t="s">
        <v>159</v>
      </c>
      <c r="I180" s="17">
        <v>23</v>
      </c>
      <c r="J180" s="20">
        <f t="shared" si="6"/>
        <v>5.5199999999999999E-2</v>
      </c>
      <c r="K180" s="20">
        <v>5.7</v>
      </c>
      <c r="L180" s="20">
        <v>0.47</v>
      </c>
      <c r="M180" s="189"/>
      <c r="N180" s="189"/>
      <c r="O180" s="36"/>
      <c r="P180" s="61"/>
      <c r="Q180" s="57"/>
    </row>
    <row r="181" spans="1:17" s="18" customFormat="1" x14ac:dyDescent="0.2">
      <c r="A181" s="197" t="s">
        <v>563</v>
      </c>
      <c r="B181" s="197" t="s">
        <v>564</v>
      </c>
      <c r="C181" s="17" t="s">
        <v>166</v>
      </c>
      <c r="D181" s="188">
        <v>10</v>
      </c>
      <c r="E181" s="17">
        <v>55</v>
      </c>
      <c r="F181" s="17" t="s">
        <v>159</v>
      </c>
      <c r="G181" s="17">
        <v>35</v>
      </c>
      <c r="H181" s="17" t="s">
        <v>159</v>
      </c>
      <c r="I181" s="17">
        <v>24</v>
      </c>
      <c r="J181" s="20">
        <f t="shared" si="6"/>
        <v>4.6199999999999998E-2</v>
      </c>
      <c r="K181" s="20">
        <v>4.75</v>
      </c>
      <c r="L181" s="20">
        <f>4.15/D181</f>
        <v>0.41500000000000004</v>
      </c>
      <c r="M181" s="188">
        <v>6201930000</v>
      </c>
      <c r="N181" s="188" t="s">
        <v>6</v>
      </c>
      <c r="O181" s="36"/>
      <c r="P181" s="59">
        <v>0.12</v>
      </c>
      <c r="Q181" s="57">
        <v>0.03</v>
      </c>
    </row>
    <row r="182" spans="1:17" s="18" customFormat="1" x14ac:dyDescent="0.2">
      <c r="A182" s="204"/>
      <c r="B182" s="204"/>
      <c r="C182" s="17" t="s">
        <v>107</v>
      </c>
      <c r="D182" s="194"/>
      <c r="E182" s="17">
        <v>60</v>
      </c>
      <c r="F182" s="17" t="s">
        <v>159</v>
      </c>
      <c r="G182" s="17">
        <v>35</v>
      </c>
      <c r="H182" s="17" t="s">
        <v>159</v>
      </c>
      <c r="I182" s="17">
        <v>24</v>
      </c>
      <c r="J182" s="20">
        <f t="shared" si="6"/>
        <v>5.04E-2</v>
      </c>
      <c r="K182" s="20">
        <v>5.75</v>
      </c>
      <c r="L182" s="20">
        <f>4.8/D181</f>
        <v>0.48</v>
      </c>
      <c r="M182" s="194"/>
      <c r="N182" s="194"/>
      <c r="O182" s="36"/>
      <c r="P182" s="61"/>
      <c r="Q182" s="57"/>
    </row>
    <row r="183" spans="1:17" s="18" customFormat="1" x14ac:dyDescent="0.2">
      <c r="A183" s="198"/>
      <c r="B183" s="198"/>
      <c r="C183" s="17" t="s">
        <v>164</v>
      </c>
      <c r="D183" s="189"/>
      <c r="E183" s="17">
        <v>60</v>
      </c>
      <c r="F183" s="17" t="s">
        <v>159</v>
      </c>
      <c r="G183" s="17">
        <v>40</v>
      </c>
      <c r="H183" s="17" t="s">
        <v>159</v>
      </c>
      <c r="I183" s="17">
        <v>27</v>
      </c>
      <c r="J183" s="20">
        <f t="shared" si="6"/>
        <v>6.4799999999999996E-2</v>
      </c>
      <c r="K183" s="20">
        <v>6.5</v>
      </c>
      <c r="L183" s="20">
        <f>5.45/D181</f>
        <v>0.54500000000000004</v>
      </c>
      <c r="M183" s="189"/>
      <c r="N183" s="189"/>
      <c r="O183" s="36"/>
      <c r="P183" s="61"/>
      <c r="Q183" s="57"/>
    </row>
    <row r="184" spans="1:17" s="18" customFormat="1" x14ac:dyDescent="0.2">
      <c r="A184" s="197" t="s">
        <v>562</v>
      </c>
      <c r="B184" s="197" t="s">
        <v>679</v>
      </c>
      <c r="C184" s="17" t="s">
        <v>175</v>
      </c>
      <c r="D184" s="188">
        <v>10</v>
      </c>
      <c r="E184" s="17">
        <v>50</v>
      </c>
      <c r="F184" s="17" t="s">
        <v>159</v>
      </c>
      <c r="G184" s="17">
        <v>35</v>
      </c>
      <c r="H184" s="17" t="s">
        <v>159</v>
      </c>
      <c r="I184" s="17">
        <v>24</v>
      </c>
      <c r="J184" s="20">
        <f t="shared" si="6"/>
        <v>4.2000000000000003E-2</v>
      </c>
      <c r="K184" s="191">
        <v>6.5</v>
      </c>
      <c r="L184" s="191">
        <f>5/D184</f>
        <v>0.5</v>
      </c>
      <c r="M184" s="188">
        <v>6202930000</v>
      </c>
      <c r="N184" s="188" t="s">
        <v>6</v>
      </c>
      <c r="O184" s="36"/>
      <c r="P184" s="59">
        <v>0.12</v>
      </c>
      <c r="Q184" s="57">
        <v>0.03</v>
      </c>
    </row>
    <row r="185" spans="1:17" s="18" customFormat="1" x14ac:dyDescent="0.2">
      <c r="A185" s="204"/>
      <c r="B185" s="204"/>
      <c r="C185" s="17" t="s">
        <v>374</v>
      </c>
      <c r="D185" s="194"/>
      <c r="E185" s="17">
        <v>55</v>
      </c>
      <c r="F185" s="17" t="s">
        <v>159</v>
      </c>
      <c r="G185" s="17">
        <v>35</v>
      </c>
      <c r="H185" s="17" t="s">
        <v>159</v>
      </c>
      <c r="I185" s="17">
        <v>24</v>
      </c>
      <c r="J185" s="20">
        <f t="shared" si="6"/>
        <v>4.6199999999999998E-2</v>
      </c>
      <c r="K185" s="193"/>
      <c r="L185" s="193"/>
      <c r="M185" s="194"/>
      <c r="N185" s="194"/>
      <c r="O185" s="36"/>
      <c r="P185" s="61"/>
      <c r="Q185" s="57"/>
    </row>
    <row r="186" spans="1:17" s="18" customFormat="1" x14ac:dyDescent="0.2">
      <c r="A186" s="198"/>
      <c r="B186" s="198"/>
      <c r="C186" s="17" t="s">
        <v>168</v>
      </c>
      <c r="D186" s="189"/>
      <c r="E186" s="17">
        <v>60</v>
      </c>
      <c r="F186" s="17" t="s">
        <v>159</v>
      </c>
      <c r="G186" s="17">
        <v>35</v>
      </c>
      <c r="H186" s="17" t="s">
        <v>159</v>
      </c>
      <c r="I186" s="17">
        <v>24</v>
      </c>
      <c r="J186" s="20">
        <f t="shared" si="6"/>
        <v>5.04E-2</v>
      </c>
      <c r="K186" s="192"/>
      <c r="L186" s="192"/>
      <c r="M186" s="189"/>
      <c r="N186" s="189"/>
      <c r="O186" s="36"/>
      <c r="P186" s="61"/>
      <c r="Q186" s="57"/>
    </row>
    <row r="187" spans="1:17" x14ac:dyDescent="0.2">
      <c r="A187" s="19" t="s">
        <v>441</v>
      </c>
      <c r="B187" s="19" t="s">
        <v>686</v>
      </c>
      <c r="C187" s="17" t="s">
        <v>169</v>
      </c>
      <c r="D187" s="17">
        <v>10</v>
      </c>
      <c r="E187" s="17">
        <v>60</v>
      </c>
      <c r="F187" s="17" t="s">
        <v>159</v>
      </c>
      <c r="G187" s="17">
        <v>40</v>
      </c>
      <c r="H187" s="17" t="s">
        <v>159</v>
      </c>
      <c r="I187" s="17">
        <v>30</v>
      </c>
      <c r="J187" s="20">
        <f t="shared" si="6"/>
        <v>7.1999999999999995E-2</v>
      </c>
      <c r="K187" s="20">
        <v>7.5</v>
      </c>
      <c r="L187" s="20">
        <v>0.6</v>
      </c>
      <c r="M187" s="98">
        <v>6103390090</v>
      </c>
      <c r="N187" s="17" t="s">
        <v>108</v>
      </c>
      <c r="O187" s="36"/>
      <c r="P187" s="59">
        <v>0.12</v>
      </c>
      <c r="Q187" s="57">
        <v>0.03</v>
      </c>
    </row>
    <row r="188" spans="1:17" x14ac:dyDescent="0.2">
      <c r="A188" s="19" t="s">
        <v>442</v>
      </c>
      <c r="B188" s="19" t="s">
        <v>687</v>
      </c>
      <c r="C188" s="17" t="s">
        <v>171</v>
      </c>
      <c r="D188" s="17">
        <v>10</v>
      </c>
      <c r="E188" s="17">
        <v>60</v>
      </c>
      <c r="F188" s="17" t="s">
        <v>159</v>
      </c>
      <c r="G188" s="17">
        <v>40</v>
      </c>
      <c r="H188" s="17" t="s">
        <v>159</v>
      </c>
      <c r="I188" s="17">
        <v>30</v>
      </c>
      <c r="J188" s="20">
        <f t="shared" si="6"/>
        <v>7.1999999999999995E-2</v>
      </c>
      <c r="K188" s="20">
        <v>7.5</v>
      </c>
      <c r="L188" s="20">
        <v>0.6</v>
      </c>
      <c r="M188" s="98">
        <v>6103390090</v>
      </c>
      <c r="N188" s="17" t="s">
        <v>108</v>
      </c>
      <c r="O188" s="36"/>
      <c r="P188" s="59">
        <v>0.12</v>
      </c>
      <c r="Q188" s="57">
        <v>0.03</v>
      </c>
    </row>
    <row r="189" spans="1:17" x14ac:dyDescent="0.2">
      <c r="A189" s="19" t="s">
        <v>204</v>
      </c>
      <c r="B189" s="19" t="s">
        <v>205</v>
      </c>
      <c r="C189" s="17" t="s">
        <v>23</v>
      </c>
      <c r="D189" s="17">
        <v>10</v>
      </c>
      <c r="E189" s="17">
        <v>60</v>
      </c>
      <c r="F189" s="17" t="s">
        <v>159</v>
      </c>
      <c r="G189" s="17">
        <v>40</v>
      </c>
      <c r="H189" s="17" t="s">
        <v>159</v>
      </c>
      <c r="I189" s="17">
        <v>35</v>
      </c>
      <c r="J189" s="12">
        <f t="shared" si="6"/>
        <v>8.4000000000000005E-2</v>
      </c>
      <c r="K189" s="20">
        <v>9.1999999999999993</v>
      </c>
      <c r="L189" s="20">
        <v>0.72</v>
      </c>
      <c r="M189" s="98">
        <v>6103390090</v>
      </c>
      <c r="N189" s="17" t="s">
        <v>108</v>
      </c>
      <c r="O189" s="36"/>
      <c r="P189" s="59">
        <v>0.12</v>
      </c>
      <c r="Q189" s="57">
        <v>0.03</v>
      </c>
    </row>
    <row r="190" spans="1:17" x14ac:dyDescent="0.2">
      <c r="A190" s="19" t="s">
        <v>477</v>
      </c>
      <c r="B190" s="19" t="s">
        <v>688</v>
      </c>
      <c r="C190" s="17" t="s">
        <v>20</v>
      </c>
      <c r="D190" s="17">
        <v>10</v>
      </c>
      <c r="E190" s="17">
        <v>60</v>
      </c>
      <c r="F190" s="17" t="s">
        <v>159</v>
      </c>
      <c r="G190" s="17">
        <v>40</v>
      </c>
      <c r="H190" s="17" t="s">
        <v>159</v>
      </c>
      <c r="I190" s="17">
        <v>45</v>
      </c>
      <c r="J190" s="20">
        <f t="shared" ref="J190:J196" si="7">+E190*G190*I190/1000000</f>
        <v>0.108</v>
      </c>
      <c r="K190" s="20">
        <v>14</v>
      </c>
      <c r="L190" s="20">
        <v>1.3</v>
      </c>
      <c r="M190" s="17">
        <v>6210400000</v>
      </c>
      <c r="N190" s="17" t="s">
        <v>6</v>
      </c>
      <c r="O190" s="36"/>
      <c r="P190" s="59">
        <v>0.12</v>
      </c>
      <c r="Q190" s="57">
        <v>0.03</v>
      </c>
    </row>
    <row r="191" spans="1:17" x14ac:dyDescent="0.2">
      <c r="A191" s="197" t="s">
        <v>474</v>
      </c>
      <c r="B191" s="197" t="s">
        <v>479</v>
      </c>
      <c r="C191" s="17" t="s">
        <v>169</v>
      </c>
      <c r="D191" s="188">
        <v>10</v>
      </c>
      <c r="E191" s="17">
        <v>60</v>
      </c>
      <c r="F191" s="17" t="s">
        <v>159</v>
      </c>
      <c r="G191" s="17">
        <v>40</v>
      </c>
      <c r="H191" s="17" t="s">
        <v>159</v>
      </c>
      <c r="I191" s="17">
        <v>23</v>
      </c>
      <c r="J191" s="20">
        <f t="shared" si="7"/>
        <v>5.5199999999999999E-2</v>
      </c>
      <c r="K191" s="20">
        <v>10.225</v>
      </c>
      <c r="L191" s="20">
        <v>0.92249999999999999</v>
      </c>
      <c r="M191" s="188">
        <v>6210400000</v>
      </c>
      <c r="N191" s="188" t="s">
        <v>6</v>
      </c>
      <c r="O191" s="36"/>
      <c r="P191" s="59">
        <v>0.12</v>
      </c>
      <c r="Q191" s="57">
        <v>0.03</v>
      </c>
    </row>
    <row r="192" spans="1:17" x14ac:dyDescent="0.2">
      <c r="A192" s="198"/>
      <c r="B192" s="198"/>
      <c r="C192" s="17" t="s">
        <v>158</v>
      </c>
      <c r="D192" s="189"/>
      <c r="E192" s="17">
        <v>60</v>
      </c>
      <c r="F192" s="17" t="s">
        <v>159</v>
      </c>
      <c r="G192" s="17">
        <v>40</v>
      </c>
      <c r="H192" s="17" t="s">
        <v>159</v>
      </c>
      <c r="I192" s="17">
        <v>30</v>
      </c>
      <c r="J192" s="20">
        <f t="shared" si="7"/>
        <v>7.1999999999999995E-2</v>
      </c>
      <c r="K192" s="20">
        <v>11.73</v>
      </c>
      <c r="L192" s="20">
        <v>1.073</v>
      </c>
      <c r="M192" s="189"/>
      <c r="N192" s="189"/>
      <c r="O192" s="36"/>
      <c r="P192" s="61"/>
      <c r="Q192" s="57"/>
    </row>
    <row r="193" spans="1:17" s="18" customFormat="1" x14ac:dyDescent="0.2">
      <c r="A193" s="19" t="s">
        <v>480</v>
      </c>
      <c r="B193" s="19" t="s">
        <v>690</v>
      </c>
      <c r="C193" s="17" t="s">
        <v>47</v>
      </c>
      <c r="D193" s="17">
        <v>10</v>
      </c>
      <c r="E193" s="17">
        <v>60</v>
      </c>
      <c r="F193" s="17" t="s">
        <v>159</v>
      </c>
      <c r="G193" s="17">
        <v>40</v>
      </c>
      <c r="H193" s="17" t="s">
        <v>159</v>
      </c>
      <c r="I193" s="17">
        <v>30</v>
      </c>
      <c r="J193" s="20">
        <f t="shared" si="7"/>
        <v>7.1999999999999995E-2</v>
      </c>
      <c r="K193" s="20">
        <v>9</v>
      </c>
      <c r="L193" s="20">
        <v>0.8</v>
      </c>
      <c r="M193" s="17">
        <v>6101309000</v>
      </c>
      <c r="N193" s="17" t="s">
        <v>6</v>
      </c>
      <c r="O193" s="36"/>
      <c r="P193" s="59">
        <v>0.12</v>
      </c>
      <c r="Q193" s="57">
        <v>0.03</v>
      </c>
    </row>
    <row r="194" spans="1:17" s="18" customFormat="1" x14ac:dyDescent="0.2">
      <c r="A194" s="19" t="s">
        <v>478</v>
      </c>
      <c r="B194" s="19" t="s">
        <v>689</v>
      </c>
      <c r="C194" s="17" t="s">
        <v>23</v>
      </c>
      <c r="D194" s="17">
        <v>10</v>
      </c>
      <c r="E194" s="17">
        <v>60</v>
      </c>
      <c r="F194" s="17" t="s">
        <v>159</v>
      </c>
      <c r="G194" s="17">
        <v>40</v>
      </c>
      <c r="H194" s="17" t="s">
        <v>159</v>
      </c>
      <c r="I194" s="17">
        <v>27</v>
      </c>
      <c r="J194" s="20">
        <f t="shared" si="7"/>
        <v>6.4799999999999996E-2</v>
      </c>
      <c r="K194" s="20">
        <v>8</v>
      </c>
      <c r="L194" s="20">
        <v>0.7</v>
      </c>
      <c r="M194" s="17">
        <v>6102309000</v>
      </c>
      <c r="N194" s="17" t="s">
        <v>6</v>
      </c>
      <c r="O194" s="36"/>
      <c r="P194" s="59">
        <v>0.12</v>
      </c>
      <c r="Q194" s="57">
        <v>0.03</v>
      </c>
    </row>
    <row r="195" spans="1:17" x14ac:dyDescent="0.2">
      <c r="A195" s="197" t="s">
        <v>475</v>
      </c>
      <c r="B195" s="197" t="s">
        <v>514</v>
      </c>
      <c r="C195" s="17" t="s">
        <v>93</v>
      </c>
      <c r="D195" s="188">
        <v>10</v>
      </c>
      <c r="E195" s="17">
        <v>56</v>
      </c>
      <c r="F195" s="17" t="s">
        <v>159</v>
      </c>
      <c r="G195" s="17">
        <v>40</v>
      </c>
      <c r="H195" s="17" t="s">
        <v>159</v>
      </c>
      <c r="I195" s="17">
        <v>46</v>
      </c>
      <c r="J195" s="20">
        <f t="shared" si="7"/>
        <v>0.10304000000000001</v>
      </c>
      <c r="K195" s="20">
        <v>14</v>
      </c>
      <c r="L195" s="20">
        <v>1.4</v>
      </c>
      <c r="M195" s="188">
        <v>6210400000</v>
      </c>
      <c r="N195" s="188" t="s">
        <v>6</v>
      </c>
      <c r="O195" s="36"/>
      <c r="P195" s="59">
        <v>0.12</v>
      </c>
      <c r="Q195" s="57">
        <v>0.03</v>
      </c>
    </row>
    <row r="196" spans="1:17" x14ac:dyDescent="0.2">
      <c r="A196" s="204"/>
      <c r="B196" s="204"/>
      <c r="C196" s="17" t="s">
        <v>167</v>
      </c>
      <c r="D196" s="189"/>
      <c r="E196" s="17">
        <v>60</v>
      </c>
      <c r="F196" s="17" t="s">
        <v>159</v>
      </c>
      <c r="G196" s="17">
        <v>40</v>
      </c>
      <c r="H196" s="17" t="s">
        <v>159</v>
      </c>
      <c r="I196" s="17">
        <v>49</v>
      </c>
      <c r="J196" s="20">
        <f t="shared" si="7"/>
        <v>0.1176</v>
      </c>
      <c r="K196" s="20">
        <v>16.75</v>
      </c>
      <c r="L196" s="20">
        <v>1.675</v>
      </c>
      <c r="M196" s="194"/>
      <c r="N196" s="194"/>
      <c r="O196" s="36"/>
      <c r="P196" s="61"/>
      <c r="Q196" s="57"/>
    </row>
    <row r="197" spans="1:17" x14ac:dyDescent="0.2">
      <c r="A197" s="198"/>
      <c r="B197" s="198"/>
      <c r="C197" s="17" t="s">
        <v>577</v>
      </c>
      <c r="D197" s="47">
        <v>5</v>
      </c>
      <c r="E197" s="54" t="s">
        <v>796</v>
      </c>
      <c r="F197" s="54" t="s">
        <v>159</v>
      </c>
      <c r="G197" s="54" t="s">
        <v>796</v>
      </c>
      <c r="H197" s="54" t="s">
        <v>159</v>
      </c>
      <c r="I197" s="54" t="s">
        <v>796</v>
      </c>
      <c r="J197" s="55" t="s">
        <v>796</v>
      </c>
      <c r="K197" s="55" t="s">
        <v>796</v>
      </c>
      <c r="L197" s="55" t="s">
        <v>796</v>
      </c>
      <c r="M197" s="189"/>
      <c r="N197" s="189"/>
      <c r="O197" s="36"/>
      <c r="P197" s="61"/>
      <c r="Q197" s="57"/>
    </row>
    <row r="198" spans="1:17" s="18" customFormat="1" ht="39" x14ac:dyDescent="0.2">
      <c r="A198" s="172" t="s">
        <v>196</v>
      </c>
      <c r="B198" s="172" t="s">
        <v>1107</v>
      </c>
      <c r="C198" s="184" t="s">
        <v>7</v>
      </c>
      <c r="D198" s="184">
        <v>50</v>
      </c>
      <c r="E198" s="184">
        <v>53</v>
      </c>
      <c r="F198" s="184" t="s">
        <v>159</v>
      </c>
      <c r="G198" s="184">
        <v>25</v>
      </c>
      <c r="H198" s="184" t="s">
        <v>159</v>
      </c>
      <c r="I198" s="184">
        <v>15</v>
      </c>
      <c r="J198" s="185">
        <f t="shared" ref="J198:J229" si="8">+E198*G198*I198/1000000</f>
        <v>1.9875E-2</v>
      </c>
      <c r="K198" s="185">
        <v>5.4</v>
      </c>
      <c r="L198" s="185">
        <v>9.1999999999999998E-2</v>
      </c>
      <c r="M198" s="184">
        <v>6114300000</v>
      </c>
      <c r="N198" s="184" t="s">
        <v>108</v>
      </c>
      <c r="O198" s="36"/>
      <c r="P198" s="70">
        <v>0.12</v>
      </c>
      <c r="Q198" s="71">
        <v>0.03</v>
      </c>
    </row>
    <row r="199" spans="1:17" s="18" customFormat="1" x14ac:dyDescent="0.2">
      <c r="A199" s="197" t="s">
        <v>195</v>
      </c>
      <c r="B199" s="197" t="s">
        <v>1106</v>
      </c>
      <c r="C199" s="186" t="s">
        <v>524</v>
      </c>
      <c r="D199" s="188">
        <v>50</v>
      </c>
      <c r="E199" s="170">
        <v>46</v>
      </c>
      <c r="F199" s="170" t="s">
        <v>159</v>
      </c>
      <c r="G199" s="170">
        <v>30</v>
      </c>
      <c r="H199" s="170" t="s">
        <v>159</v>
      </c>
      <c r="I199" s="170">
        <v>17</v>
      </c>
      <c r="J199" s="171">
        <f t="shared" si="8"/>
        <v>2.3460000000000002E-2</v>
      </c>
      <c r="K199" s="171">
        <v>8.76</v>
      </c>
      <c r="L199" s="171">
        <f>7.84/50</f>
        <v>0.15679999999999999</v>
      </c>
      <c r="M199" s="188">
        <v>6114300000</v>
      </c>
      <c r="N199" s="188" t="s">
        <v>108</v>
      </c>
      <c r="O199" s="36"/>
      <c r="P199" s="70"/>
      <c r="Q199" s="71"/>
    </row>
    <row r="200" spans="1:17" s="18" customFormat="1" ht="39" customHeight="1" x14ac:dyDescent="0.2">
      <c r="A200" s="204"/>
      <c r="B200" s="204"/>
      <c r="C200" s="186" t="s">
        <v>1090</v>
      </c>
      <c r="D200" s="194"/>
      <c r="E200" s="170">
        <v>46</v>
      </c>
      <c r="F200" s="170" t="s">
        <v>159</v>
      </c>
      <c r="G200" s="170">
        <v>30</v>
      </c>
      <c r="H200" s="170" t="s">
        <v>159</v>
      </c>
      <c r="I200" s="170">
        <v>20</v>
      </c>
      <c r="J200" s="171">
        <f t="shared" si="8"/>
        <v>2.76E-2</v>
      </c>
      <c r="K200" s="171">
        <v>10</v>
      </c>
      <c r="L200" s="171">
        <v>0.18</v>
      </c>
      <c r="M200" s="194"/>
      <c r="N200" s="194"/>
      <c r="O200" s="36"/>
      <c r="P200" s="70">
        <v>0.12</v>
      </c>
      <c r="Q200" s="71">
        <v>0.03</v>
      </c>
    </row>
    <row r="201" spans="1:17" s="18" customFormat="1" x14ac:dyDescent="0.2">
      <c r="A201" s="198"/>
      <c r="B201" s="198"/>
      <c r="C201" s="186" t="s">
        <v>1089</v>
      </c>
      <c r="D201" s="189"/>
      <c r="E201" s="170">
        <v>46</v>
      </c>
      <c r="F201" s="170" t="s">
        <v>159</v>
      </c>
      <c r="G201" s="170">
        <v>30</v>
      </c>
      <c r="H201" s="170" t="s">
        <v>159</v>
      </c>
      <c r="I201" s="170">
        <v>22</v>
      </c>
      <c r="J201" s="171">
        <f t="shared" si="8"/>
        <v>3.0360000000000002E-2</v>
      </c>
      <c r="K201" s="171">
        <v>11</v>
      </c>
      <c r="L201" s="171">
        <v>0.2</v>
      </c>
      <c r="M201" s="194"/>
      <c r="N201" s="194"/>
      <c r="O201" s="36"/>
      <c r="P201" s="70"/>
      <c r="Q201" s="71"/>
    </row>
    <row r="202" spans="1:17" s="18" customFormat="1" ht="39" x14ac:dyDescent="0.2">
      <c r="A202" s="19" t="s">
        <v>307</v>
      </c>
      <c r="B202" s="19" t="s">
        <v>691</v>
      </c>
      <c r="C202" s="17" t="s">
        <v>104</v>
      </c>
      <c r="D202" s="17">
        <v>50</v>
      </c>
      <c r="E202" s="17">
        <v>34</v>
      </c>
      <c r="F202" s="17" t="s">
        <v>159</v>
      </c>
      <c r="G202" s="17">
        <v>34</v>
      </c>
      <c r="H202" s="17" t="s">
        <v>159</v>
      </c>
      <c r="I202" s="17">
        <v>38</v>
      </c>
      <c r="J202" s="20">
        <f t="shared" si="8"/>
        <v>4.3928000000000002E-2</v>
      </c>
      <c r="K202" s="20">
        <v>10.4</v>
      </c>
      <c r="L202" s="20">
        <f>+K202/D202</f>
        <v>0.20800000000000002</v>
      </c>
      <c r="M202" s="17">
        <v>6114300000</v>
      </c>
      <c r="N202" s="17" t="s">
        <v>108</v>
      </c>
      <c r="O202" s="36"/>
      <c r="P202" s="59">
        <v>0.12</v>
      </c>
      <c r="Q202" s="57">
        <v>0.03</v>
      </c>
    </row>
    <row r="203" spans="1:17" s="18" customFormat="1" x14ac:dyDescent="0.2">
      <c r="A203" s="197" t="s">
        <v>772</v>
      </c>
      <c r="B203" s="197" t="s">
        <v>794</v>
      </c>
      <c r="C203" s="17" t="s">
        <v>5</v>
      </c>
      <c r="D203" s="188">
        <v>50</v>
      </c>
      <c r="E203" s="17">
        <v>45</v>
      </c>
      <c r="F203" s="17" t="s">
        <v>159</v>
      </c>
      <c r="G203" s="17">
        <v>30</v>
      </c>
      <c r="H203" s="17" t="s">
        <v>159</v>
      </c>
      <c r="I203" s="17">
        <v>28</v>
      </c>
      <c r="J203" s="20">
        <f t="shared" si="8"/>
        <v>3.78E-2</v>
      </c>
      <c r="K203" s="191">
        <v>9</v>
      </c>
      <c r="L203" s="191">
        <v>0.32</v>
      </c>
      <c r="M203" s="188">
        <v>6114300000</v>
      </c>
      <c r="N203" s="188" t="s">
        <v>6</v>
      </c>
      <c r="O203" s="36"/>
      <c r="P203" s="59">
        <v>0.12</v>
      </c>
      <c r="Q203" s="57">
        <v>0.03</v>
      </c>
    </row>
    <row r="204" spans="1:17" s="18" customFormat="1" x14ac:dyDescent="0.2">
      <c r="A204" s="198"/>
      <c r="B204" s="198"/>
      <c r="C204" s="17" t="s">
        <v>836</v>
      </c>
      <c r="D204" s="189"/>
      <c r="E204" s="17">
        <v>45</v>
      </c>
      <c r="F204" s="17" t="s">
        <v>159</v>
      </c>
      <c r="G204" s="17">
        <v>30</v>
      </c>
      <c r="H204" s="17" t="s">
        <v>159</v>
      </c>
      <c r="I204" s="17">
        <v>30</v>
      </c>
      <c r="J204" s="20">
        <f t="shared" si="8"/>
        <v>4.0500000000000001E-2</v>
      </c>
      <c r="K204" s="192"/>
      <c r="L204" s="192"/>
      <c r="M204" s="189"/>
      <c r="N204" s="189"/>
      <c r="O204" s="36"/>
      <c r="P204" s="59"/>
      <c r="Q204" s="57"/>
    </row>
    <row r="205" spans="1:17" s="18" customFormat="1" x14ac:dyDescent="0.2">
      <c r="A205" s="213" t="s">
        <v>371</v>
      </c>
      <c r="B205" s="213" t="s">
        <v>693</v>
      </c>
      <c r="C205" s="17" t="s">
        <v>175</v>
      </c>
      <c r="D205" s="195">
        <v>20</v>
      </c>
      <c r="E205" s="17">
        <v>48</v>
      </c>
      <c r="F205" s="17" t="s">
        <v>159</v>
      </c>
      <c r="G205" s="17">
        <v>30</v>
      </c>
      <c r="H205" s="17" t="s">
        <v>159</v>
      </c>
      <c r="I205" s="17">
        <v>34</v>
      </c>
      <c r="J205" s="20">
        <f t="shared" si="8"/>
        <v>4.8959999999999997E-2</v>
      </c>
      <c r="K205" s="196">
        <v>9</v>
      </c>
      <c r="L205" s="196">
        <f>7.5/20</f>
        <v>0.375</v>
      </c>
      <c r="M205" s="195">
        <v>6210400000</v>
      </c>
      <c r="N205" s="195" t="s">
        <v>6</v>
      </c>
      <c r="O205" s="36"/>
      <c r="P205" s="59">
        <v>0.12</v>
      </c>
      <c r="Q205" s="57">
        <v>0.03</v>
      </c>
    </row>
    <row r="206" spans="1:17" s="18" customFormat="1" x14ac:dyDescent="0.2">
      <c r="A206" s="213"/>
      <c r="B206" s="213"/>
      <c r="C206" s="17" t="s">
        <v>374</v>
      </c>
      <c r="D206" s="195"/>
      <c r="E206" s="17">
        <v>52</v>
      </c>
      <c r="F206" s="17" t="s">
        <v>159</v>
      </c>
      <c r="G206" s="17">
        <v>32</v>
      </c>
      <c r="H206" s="17" t="s">
        <v>159</v>
      </c>
      <c r="I206" s="17">
        <v>34</v>
      </c>
      <c r="J206" s="20">
        <f t="shared" si="8"/>
        <v>5.6576000000000001E-2</v>
      </c>
      <c r="K206" s="196"/>
      <c r="L206" s="196"/>
      <c r="M206" s="195"/>
      <c r="N206" s="195"/>
      <c r="O206" s="36"/>
      <c r="P206" s="61"/>
      <c r="Q206" s="57"/>
    </row>
    <row r="207" spans="1:17" s="18" customFormat="1" x14ac:dyDescent="0.2">
      <c r="A207" s="213" t="s">
        <v>372</v>
      </c>
      <c r="B207" s="213" t="s">
        <v>694</v>
      </c>
      <c r="C207" s="17" t="s">
        <v>171</v>
      </c>
      <c r="D207" s="195">
        <v>20</v>
      </c>
      <c r="E207" s="17">
        <v>60</v>
      </c>
      <c r="F207" s="17" t="s">
        <v>159</v>
      </c>
      <c r="G207" s="17">
        <v>40</v>
      </c>
      <c r="H207" s="17" t="s">
        <v>159</v>
      </c>
      <c r="I207" s="17">
        <v>34</v>
      </c>
      <c r="J207" s="20">
        <f t="shared" si="8"/>
        <v>8.1600000000000006E-2</v>
      </c>
      <c r="K207" s="196">
        <v>10.5</v>
      </c>
      <c r="L207" s="196">
        <f>9/20</f>
        <v>0.45</v>
      </c>
      <c r="M207" s="195">
        <v>6210400000</v>
      </c>
      <c r="N207" s="195" t="s">
        <v>6</v>
      </c>
      <c r="O207" s="36"/>
      <c r="P207" s="59">
        <v>0.12</v>
      </c>
      <c r="Q207" s="57">
        <v>0.03</v>
      </c>
    </row>
    <row r="208" spans="1:17" s="18" customFormat="1" x14ac:dyDescent="0.2">
      <c r="A208" s="213"/>
      <c r="B208" s="213"/>
      <c r="C208" s="17" t="s">
        <v>160</v>
      </c>
      <c r="D208" s="195"/>
      <c r="E208" s="17">
        <v>60</v>
      </c>
      <c r="F208" s="17" t="s">
        <v>159</v>
      </c>
      <c r="G208" s="17">
        <v>40</v>
      </c>
      <c r="H208" s="17" t="s">
        <v>159</v>
      </c>
      <c r="I208" s="17">
        <v>34</v>
      </c>
      <c r="J208" s="20">
        <f t="shared" si="8"/>
        <v>8.1600000000000006E-2</v>
      </c>
      <c r="K208" s="196"/>
      <c r="L208" s="196"/>
      <c r="M208" s="195"/>
      <c r="N208" s="195"/>
      <c r="O208" s="36"/>
      <c r="P208" s="61"/>
      <c r="Q208" s="57"/>
    </row>
    <row r="209" spans="1:17" s="18" customFormat="1" x14ac:dyDescent="0.2">
      <c r="A209" s="213" t="s">
        <v>373</v>
      </c>
      <c r="B209" s="213" t="s">
        <v>692</v>
      </c>
      <c r="C209" s="17" t="s">
        <v>166</v>
      </c>
      <c r="D209" s="195">
        <v>20</v>
      </c>
      <c r="E209" s="17">
        <v>60</v>
      </c>
      <c r="F209" s="17" t="s">
        <v>159</v>
      </c>
      <c r="G209" s="17">
        <v>40</v>
      </c>
      <c r="H209" s="17" t="s">
        <v>159</v>
      </c>
      <c r="I209" s="17">
        <v>34</v>
      </c>
      <c r="J209" s="20">
        <f t="shared" si="8"/>
        <v>8.1600000000000006E-2</v>
      </c>
      <c r="K209" s="196">
        <v>10.5</v>
      </c>
      <c r="L209" s="196">
        <f>9/20</f>
        <v>0.45</v>
      </c>
      <c r="M209" s="195">
        <v>6210400000</v>
      </c>
      <c r="N209" s="195" t="s">
        <v>6</v>
      </c>
      <c r="O209" s="36"/>
      <c r="P209" s="59">
        <v>0.12</v>
      </c>
      <c r="Q209" s="57">
        <v>0.03</v>
      </c>
    </row>
    <row r="210" spans="1:17" s="18" customFormat="1" x14ac:dyDescent="0.2">
      <c r="A210" s="213"/>
      <c r="B210" s="213"/>
      <c r="C210" s="17" t="s">
        <v>107</v>
      </c>
      <c r="D210" s="195"/>
      <c r="E210" s="17">
        <v>60</v>
      </c>
      <c r="F210" s="17" t="s">
        <v>159</v>
      </c>
      <c r="G210" s="17">
        <v>40</v>
      </c>
      <c r="H210" s="17" t="s">
        <v>159</v>
      </c>
      <c r="I210" s="17">
        <v>36</v>
      </c>
      <c r="J210" s="20">
        <f t="shared" si="8"/>
        <v>8.6400000000000005E-2</v>
      </c>
      <c r="K210" s="196"/>
      <c r="L210" s="196"/>
      <c r="M210" s="195"/>
      <c r="N210" s="195"/>
      <c r="O210" s="36"/>
      <c r="P210" s="61"/>
      <c r="Q210" s="57"/>
    </row>
    <row r="211" spans="1:17" s="18" customFormat="1" x14ac:dyDescent="0.2">
      <c r="A211" s="213"/>
      <c r="B211" s="213"/>
      <c r="C211" s="17" t="s">
        <v>164</v>
      </c>
      <c r="D211" s="195"/>
      <c r="E211" s="17">
        <v>60</v>
      </c>
      <c r="F211" s="17" t="s">
        <v>159</v>
      </c>
      <c r="G211" s="17">
        <v>40</v>
      </c>
      <c r="H211" s="17" t="s">
        <v>159</v>
      </c>
      <c r="I211" s="17">
        <v>40</v>
      </c>
      <c r="J211" s="20">
        <f t="shared" si="8"/>
        <v>9.6000000000000002E-2</v>
      </c>
      <c r="K211" s="196"/>
      <c r="L211" s="196"/>
      <c r="M211" s="195"/>
      <c r="N211" s="195"/>
      <c r="O211" s="36"/>
      <c r="P211" s="61"/>
      <c r="Q211" s="57"/>
    </row>
    <row r="212" spans="1:17" s="18" customFormat="1" x14ac:dyDescent="0.2">
      <c r="A212" s="197" t="s">
        <v>197</v>
      </c>
      <c r="B212" s="197" t="s">
        <v>695</v>
      </c>
      <c r="C212" s="17" t="s">
        <v>47</v>
      </c>
      <c r="D212" s="188">
        <v>25</v>
      </c>
      <c r="E212" s="17">
        <v>32</v>
      </c>
      <c r="F212" s="17" t="s">
        <v>159</v>
      </c>
      <c r="G212" s="17">
        <v>30</v>
      </c>
      <c r="H212" s="17" t="s">
        <v>159</v>
      </c>
      <c r="I212" s="17">
        <v>22</v>
      </c>
      <c r="J212" s="20">
        <f t="shared" si="8"/>
        <v>2.112E-2</v>
      </c>
      <c r="K212" s="191">
        <v>6</v>
      </c>
      <c r="L212" s="191">
        <v>0.2</v>
      </c>
      <c r="M212" s="188">
        <v>6210400000</v>
      </c>
      <c r="N212" s="188" t="s">
        <v>6</v>
      </c>
      <c r="O212" s="36"/>
      <c r="P212" s="59">
        <v>0.12</v>
      </c>
      <c r="Q212" s="57">
        <v>0.03</v>
      </c>
    </row>
    <row r="213" spans="1:17" s="18" customFormat="1" x14ac:dyDescent="0.2">
      <c r="A213" s="198"/>
      <c r="B213" s="198"/>
      <c r="C213" s="17" t="s">
        <v>162</v>
      </c>
      <c r="D213" s="189"/>
      <c r="E213" s="17">
        <v>32</v>
      </c>
      <c r="F213" s="17" t="s">
        <v>159</v>
      </c>
      <c r="G213" s="17">
        <v>30</v>
      </c>
      <c r="H213" s="17" t="s">
        <v>159</v>
      </c>
      <c r="I213" s="17">
        <v>24</v>
      </c>
      <c r="J213" s="20">
        <f t="shared" si="8"/>
        <v>2.3040000000000001E-2</v>
      </c>
      <c r="K213" s="192"/>
      <c r="L213" s="192"/>
      <c r="M213" s="189"/>
      <c r="N213" s="189"/>
      <c r="O213" s="36"/>
      <c r="P213" s="61"/>
      <c r="Q213" s="57"/>
    </row>
    <row r="214" spans="1:17" s="18" customFormat="1" x14ac:dyDescent="0.2">
      <c r="A214" s="19" t="s">
        <v>198</v>
      </c>
      <c r="B214" s="19" t="s">
        <v>696</v>
      </c>
      <c r="C214" s="17" t="s">
        <v>23</v>
      </c>
      <c r="D214" s="17">
        <v>25</v>
      </c>
      <c r="E214" s="17">
        <v>54</v>
      </c>
      <c r="F214" s="17" t="s">
        <v>159</v>
      </c>
      <c r="G214" s="17">
        <v>34</v>
      </c>
      <c r="H214" s="17" t="s">
        <v>159</v>
      </c>
      <c r="I214" s="17">
        <v>22</v>
      </c>
      <c r="J214" s="20">
        <f t="shared" si="8"/>
        <v>4.0391999999999997E-2</v>
      </c>
      <c r="K214" s="20">
        <v>9</v>
      </c>
      <c r="L214" s="20">
        <v>0.32</v>
      </c>
      <c r="M214" s="17">
        <v>6210400000</v>
      </c>
      <c r="N214" s="17" t="s">
        <v>6</v>
      </c>
      <c r="O214" s="36"/>
      <c r="P214" s="59">
        <v>0.12</v>
      </c>
      <c r="Q214" s="57">
        <v>0.03</v>
      </c>
    </row>
    <row r="215" spans="1:17" x14ac:dyDescent="0.2">
      <c r="A215" s="213" t="s">
        <v>199</v>
      </c>
      <c r="B215" s="213" t="s">
        <v>697</v>
      </c>
      <c r="C215" s="17" t="s">
        <v>7</v>
      </c>
      <c r="D215" s="195">
        <v>20</v>
      </c>
      <c r="E215" s="17">
        <v>60</v>
      </c>
      <c r="F215" s="17" t="s">
        <v>159</v>
      </c>
      <c r="G215" s="17">
        <v>40</v>
      </c>
      <c r="H215" s="17" t="s">
        <v>159</v>
      </c>
      <c r="I215" s="17">
        <v>35</v>
      </c>
      <c r="J215" s="20">
        <f t="shared" si="8"/>
        <v>8.4000000000000005E-2</v>
      </c>
      <c r="K215" s="196">
        <v>19.5</v>
      </c>
      <c r="L215" s="196">
        <v>0.9</v>
      </c>
      <c r="M215" s="195">
        <v>6210400000</v>
      </c>
      <c r="N215" s="195" t="s">
        <v>6</v>
      </c>
      <c r="O215" s="36"/>
      <c r="P215" s="59">
        <v>0.12</v>
      </c>
      <c r="Q215" s="57">
        <v>0.03</v>
      </c>
    </row>
    <row r="216" spans="1:17" x14ac:dyDescent="0.2">
      <c r="A216" s="213"/>
      <c r="B216" s="213"/>
      <c r="C216" s="17" t="s">
        <v>158</v>
      </c>
      <c r="D216" s="195"/>
      <c r="E216" s="17">
        <v>60</v>
      </c>
      <c r="F216" s="17" t="s">
        <v>159</v>
      </c>
      <c r="G216" s="17">
        <v>40</v>
      </c>
      <c r="H216" s="17" t="s">
        <v>159</v>
      </c>
      <c r="I216" s="17">
        <v>37</v>
      </c>
      <c r="J216" s="20">
        <f t="shared" si="8"/>
        <v>8.8800000000000004E-2</v>
      </c>
      <c r="K216" s="196"/>
      <c r="L216" s="196"/>
      <c r="M216" s="195"/>
      <c r="N216" s="195"/>
      <c r="O216" s="36"/>
      <c r="P216" s="61"/>
      <c r="Q216" s="57"/>
    </row>
    <row r="217" spans="1:17" s="18" customFormat="1" x14ac:dyDescent="0.2">
      <c r="A217" s="19" t="s">
        <v>201</v>
      </c>
      <c r="B217" s="19" t="s">
        <v>698</v>
      </c>
      <c r="C217" s="17" t="s">
        <v>169</v>
      </c>
      <c r="D217" s="17">
        <v>10</v>
      </c>
      <c r="E217" s="17">
        <v>48</v>
      </c>
      <c r="F217" s="17" t="s">
        <v>159</v>
      </c>
      <c r="G217" s="17">
        <v>32</v>
      </c>
      <c r="H217" s="17" t="s">
        <v>159</v>
      </c>
      <c r="I217" s="17">
        <v>46</v>
      </c>
      <c r="J217" s="20">
        <f t="shared" si="8"/>
        <v>7.0655999999999997E-2</v>
      </c>
      <c r="K217" s="20">
        <v>9</v>
      </c>
      <c r="L217" s="20">
        <v>0.8</v>
      </c>
      <c r="M217" s="17">
        <v>6210400000</v>
      </c>
      <c r="N217" s="17" t="s">
        <v>6</v>
      </c>
      <c r="O217" s="36"/>
      <c r="P217" s="59">
        <v>0.12</v>
      </c>
      <c r="Q217" s="57">
        <v>0.03</v>
      </c>
    </row>
    <row r="218" spans="1:17" s="18" customFormat="1" x14ac:dyDescent="0.2">
      <c r="A218" s="19" t="s">
        <v>202</v>
      </c>
      <c r="B218" s="19" t="s">
        <v>699</v>
      </c>
      <c r="C218" s="17" t="s">
        <v>168</v>
      </c>
      <c r="D218" s="17">
        <v>10</v>
      </c>
      <c r="E218" s="17">
        <v>52</v>
      </c>
      <c r="F218" s="17" t="s">
        <v>159</v>
      </c>
      <c r="G218" s="17">
        <v>35</v>
      </c>
      <c r="H218" s="17" t="s">
        <v>159</v>
      </c>
      <c r="I218" s="17">
        <v>46</v>
      </c>
      <c r="J218" s="20">
        <f t="shared" si="8"/>
        <v>8.3720000000000003E-2</v>
      </c>
      <c r="K218" s="20">
        <v>10</v>
      </c>
      <c r="L218" s="20">
        <v>0.9</v>
      </c>
      <c r="M218" s="17">
        <v>6210400000</v>
      </c>
      <c r="N218" s="17" t="s">
        <v>6</v>
      </c>
      <c r="O218" s="36"/>
      <c r="P218" s="59">
        <v>0.12</v>
      </c>
      <c r="Q218" s="57">
        <v>0.03</v>
      </c>
    </row>
    <row r="219" spans="1:17" s="18" customFormat="1" x14ac:dyDescent="0.2">
      <c r="A219" s="213" t="s">
        <v>200</v>
      </c>
      <c r="B219" s="213" t="s">
        <v>700</v>
      </c>
      <c r="C219" s="17" t="s">
        <v>7</v>
      </c>
      <c r="D219" s="195">
        <v>10</v>
      </c>
      <c r="E219" s="17">
        <v>60</v>
      </c>
      <c r="F219" s="17" t="s">
        <v>159</v>
      </c>
      <c r="G219" s="17">
        <v>40</v>
      </c>
      <c r="H219" s="17" t="s">
        <v>159</v>
      </c>
      <c r="I219" s="17">
        <v>45</v>
      </c>
      <c r="J219" s="20">
        <f t="shared" si="8"/>
        <v>0.108</v>
      </c>
      <c r="K219" s="20">
        <v>14</v>
      </c>
      <c r="L219" s="20">
        <v>1.3</v>
      </c>
      <c r="M219" s="195">
        <v>6210400000</v>
      </c>
      <c r="N219" s="195" t="s">
        <v>6</v>
      </c>
      <c r="O219" s="36"/>
      <c r="P219" s="59">
        <v>0.12</v>
      </c>
      <c r="Q219" s="57">
        <v>0.03</v>
      </c>
    </row>
    <row r="220" spans="1:17" s="18" customFormat="1" x14ac:dyDescent="0.2">
      <c r="A220" s="213"/>
      <c r="B220" s="213"/>
      <c r="C220" s="17" t="s">
        <v>158</v>
      </c>
      <c r="D220" s="195"/>
      <c r="E220" s="17">
        <v>60</v>
      </c>
      <c r="F220" s="17" t="s">
        <v>159</v>
      </c>
      <c r="G220" s="17">
        <v>40</v>
      </c>
      <c r="H220" s="17" t="s">
        <v>159</v>
      </c>
      <c r="I220" s="17">
        <v>55</v>
      </c>
      <c r="J220" s="20">
        <f t="shared" si="8"/>
        <v>0.13200000000000001</v>
      </c>
      <c r="K220" s="20">
        <v>16</v>
      </c>
      <c r="L220" s="20">
        <v>1.5</v>
      </c>
      <c r="M220" s="195"/>
      <c r="N220" s="195"/>
      <c r="O220" s="36"/>
      <c r="P220" s="61"/>
      <c r="Q220" s="57"/>
    </row>
    <row r="221" spans="1:17" x14ac:dyDescent="0.2">
      <c r="A221" s="19" t="s">
        <v>203</v>
      </c>
      <c r="B221" s="19" t="s">
        <v>1022</v>
      </c>
      <c r="C221" s="17" t="s">
        <v>20</v>
      </c>
      <c r="D221" s="17">
        <v>20</v>
      </c>
      <c r="E221" s="17">
        <v>60</v>
      </c>
      <c r="F221" s="17" t="s">
        <v>159</v>
      </c>
      <c r="G221" s="17">
        <v>40</v>
      </c>
      <c r="H221" s="17" t="s">
        <v>159</v>
      </c>
      <c r="I221" s="17">
        <v>60</v>
      </c>
      <c r="J221" s="20">
        <f t="shared" si="8"/>
        <v>0.14399999999999999</v>
      </c>
      <c r="K221" s="20">
        <v>13.5</v>
      </c>
      <c r="L221" s="20">
        <v>0.57499999999999996</v>
      </c>
      <c r="M221" s="17">
        <v>6103390090</v>
      </c>
      <c r="N221" s="17" t="s">
        <v>108</v>
      </c>
      <c r="O221" s="36"/>
      <c r="P221" s="59">
        <v>0.12</v>
      </c>
      <c r="Q221" s="57">
        <v>0.03</v>
      </c>
    </row>
    <row r="222" spans="1:17" x14ac:dyDescent="0.2">
      <c r="A222" s="19" t="s">
        <v>416</v>
      </c>
      <c r="B222" s="19" t="s">
        <v>706</v>
      </c>
      <c r="C222" s="17" t="s">
        <v>20</v>
      </c>
      <c r="D222" s="17">
        <v>20</v>
      </c>
      <c r="E222" s="17">
        <v>60</v>
      </c>
      <c r="F222" s="17" t="s">
        <v>159</v>
      </c>
      <c r="G222" s="17">
        <v>38</v>
      </c>
      <c r="H222" s="17" t="s">
        <v>159</v>
      </c>
      <c r="I222" s="17">
        <v>40</v>
      </c>
      <c r="J222" s="20">
        <f t="shared" si="8"/>
        <v>9.1200000000000003E-2</v>
      </c>
      <c r="K222" s="20">
        <v>14.5</v>
      </c>
      <c r="L222" s="20">
        <v>0.9</v>
      </c>
      <c r="M222" s="17">
        <v>6201930000</v>
      </c>
      <c r="N222" s="17" t="s">
        <v>6</v>
      </c>
      <c r="O222" s="36"/>
      <c r="P222" s="59">
        <v>0.12</v>
      </c>
      <c r="Q222" s="57">
        <v>0.03</v>
      </c>
    </row>
    <row r="223" spans="1:17" x14ac:dyDescent="0.2">
      <c r="A223" s="213" t="s">
        <v>388</v>
      </c>
      <c r="B223" s="213" t="s">
        <v>701</v>
      </c>
      <c r="C223" s="17" t="s">
        <v>163</v>
      </c>
      <c r="D223" s="195">
        <v>10</v>
      </c>
      <c r="E223" s="17">
        <v>48</v>
      </c>
      <c r="F223" s="17" t="s">
        <v>159</v>
      </c>
      <c r="G223" s="17">
        <v>33</v>
      </c>
      <c r="H223" s="17" t="s">
        <v>159</v>
      </c>
      <c r="I223" s="17">
        <v>18</v>
      </c>
      <c r="J223" s="20">
        <f t="shared" si="8"/>
        <v>2.8511999999999999E-2</v>
      </c>
      <c r="K223" s="196">
        <v>5</v>
      </c>
      <c r="L223" s="196">
        <v>0.4</v>
      </c>
      <c r="M223" s="195">
        <v>6202930000</v>
      </c>
      <c r="N223" s="195" t="s">
        <v>6</v>
      </c>
      <c r="O223" s="36"/>
      <c r="P223" s="59">
        <v>0.12</v>
      </c>
      <c r="Q223" s="57">
        <v>0.03</v>
      </c>
    </row>
    <row r="224" spans="1:17" x14ac:dyDescent="0.2">
      <c r="A224" s="213"/>
      <c r="B224" s="213"/>
      <c r="C224" s="17" t="s">
        <v>162</v>
      </c>
      <c r="D224" s="195"/>
      <c r="E224" s="17">
        <v>56</v>
      </c>
      <c r="F224" s="17" t="s">
        <v>159</v>
      </c>
      <c r="G224" s="17">
        <v>35</v>
      </c>
      <c r="H224" s="17" t="s">
        <v>159</v>
      </c>
      <c r="I224" s="17">
        <v>18</v>
      </c>
      <c r="J224" s="20">
        <f t="shared" si="8"/>
        <v>3.5279999999999999E-2</v>
      </c>
      <c r="K224" s="196"/>
      <c r="L224" s="196"/>
      <c r="M224" s="195"/>
      <c r="N224" s="195"/>
      <c r="O224" s="36"/>
      <c r="P224" s="61"/>
      <c r="Q224" s="57"/>
    </row>
    <row r="225" spans="1:17" x14ac:dyDescent="0.2">
      <c r="A225" s="4" t="s">
        <v>71</v>
      </c>
      <c r="B225" s="4" t="s">
        <v>702</v>
      </c>
      <c r="C225" s="5" t="s">
        <v>29</v>
      </c>
      <c r="D225" s="5">
        <v>25</v>
      </c>
      <c r="E225" s="5">
        <v>58</v>
      </c>
      <c r="F225" s="5" t="s">
        <v>159</v>
      </c>
      <c r="G225" s="5">
        <v>32</v>
      </c>
      <c r="H225" s="5" t="s">
        <v>159</v>
      </c>
      <c r="I225" s="5">
        <v>22</v>
      </c>
      <c r="J225" s="12">
        <f t="shared" si="8"/>
        <v>4.0832E-2</v>
      </c>
      <c r="K225" s="12">
        <v>6</v>
      </c>
      <c r="L225" s="12">
        <v>0.2</v>
      </c>
      <c r="M225" s="5">
        <v>6114300000</v>
      </c>
      <c r="N225" s="17" t="s">
        <v>6</v>
      </c>
      <c r="O225" s="35">
        <v>0.12</v>
      </c>
      <c r="P225" s="59">
        <v>0.12</v>
      </c>
      <c r="Q225" s="57">
        <v>0.03</v>
      </c>
    </row>
    <row r="226" spans="1:17" ht="39" x14ac:dyDescent="0.2">
      <c r="A226" s="4" t="s">
        <v>72</v>
      </c>
      <c r="B226" s="4" t="s">
        <v>703</v>
      </c>
      <c r="C226" s="5" t="s">
        <v>104</v>
      </c>
      <c r="D226" s="5">
        <v>50</v>
      </c>
      <c r="E226" s="5">
        <v>58</v>
      </c>
      <c r="F226" s="5" t="s">
        <v>159</v>
      </c>
      <c r="G226" s="5">
        <v>32</v>
      </c>
      <c r="H226" s="5" t="s">
        <v>159</v>
      </c>
      <c r="I226" s="5">
        <v>25</v>
      </c>
      <c r="J226" s="12">
        <f t="shared" si="8"/>
        <v>4.6399999999999997E-2</v>
      </c>
      <c r="K226" s="12">
        <v>7</v>
      </c>
      <c r="L226" s="12">
        <v>0.1</v>
      </c>
      <c r="M226" s="5">
        <v>6114300000</v>
      </c>
      <c r="N226" s="5" t="s">
        <v>6</v>
      </c>
      <c r="O226" s="35">
        <v>0.12</v>
      </c>
      <c r="P226" s="59">
        <v>0.12</v>
      </c>
      <c r="Q226" s="57">
        <v>0.03</v>
      </c>
    </row>
    <row r="227" spans="1:17" x14ac:dyDescent="0.2">
      <c r="A227" s="4" t="s">
        <v>27</v>
      </c>
      <c r="B227" s="4" t="s">
        <v>704</v>
      </c>
      <c r="C227" s="5" t="s">
        <v>5</v>
      </c>
      <c r="D227" s="5">
        <v>50</v>
      </c>
      <c r="E227" s="5">
        <v>55</v>
      </c>
      <c r="F227" s="5" t="s">
        <v>159</v>
      </c>
      <c r="G227" s="5">
        <v>31</v>
      </c>
      <c r="H227" s="5" t="s">
        <v>159</v>
      </c>
      <c r="I227" s="5">
        <v>19</v>
      </c>
      <c r="J227" s="12">
        <f t="shared" si="8"/>
        <v>3.2395E-2</v>
      </c>
      <c r="K227" s="12">
        <v>7</v>
      </c>
      <c r="L227" s="12">
        <v>0.1</v>
      </c>
      <c r="M227" s="5">
        <v>6114300000</v>
      </c>
      <c r="N227" s="5" t="s">
        <v>6</v>
      </c>
      <c r="O227" s="35">
        <v>0.12</v>
      </c>
      <c r="P227" s="59">
        <v>0.12</v>
      </c>
      <c r="Q227" s="57">
        <v>0.03</v>
      </c>
    </row>
    <row r="228" spans="1:17" x14ac:dyDescent="0.2">
      <c r="A228" s="4" t="s">
        <v>73</v>
      </c>
      <c r="B228" s="4" t="s">
        <v>38</v>
      </c>
      <c r="C228" s="5" t="s">
        <v>41</v>
      </c>
      <c r="D228" s="5">
        <v>200</v>
      </c>
      <c r="E228" s="5">
        <v>55</v>
      </c>
      <c r="F228" s="5" t="s">
        <v>159</v>
      </c>
      <c r="G228" s="5">
        <v>34</v>
      </c>
      <c r="H228" s="5" t="s">
        <v>159</v>
      </c>
      <c r="I228" s="5">
        <v>19</v>
      </c>
      <c r="J228" s="12">
        <f t="shared" si="8"/>
        <v>3.5529999999999999E-2</v>
      </c>
      <c r="K228" s="12">
        <v>7</v>
      </c>
      <c r="L228" s="12">
        <v>0.1</v>
      </c>
      <c r="M228" s="5">
        <v>4202929890</v>
      </c>
      <c r="N228" s="5" t="s">
        <v>6</v>
      </c>
      <c r="O228" s="35">
        <v>0.12</v>
      </c>
      <c r="P228" s="62">
        <v>2.7E-2</v>
      </c>
      <c r="Q228" s="57">
        <v>0.03</v>
      </c>
    </row>
    <row r="229" spans="1:17" x14ac:dyDescent="0.2">
      <c r="A229" s="206" t="s">
        <v>395</v>
      </c>
      <c r="B229" s="206" t="s">
        <v>25</v>
      </c>
      <c r="C229" s="5" t="s">
        <v>86</v>
      </c>
      <c r="D229" s="208">
        <v>20</v>
      </c>
      <c r="E229" s="17">
        <v>58</v>
      </c>
      <c r="F229" s="17" t="s">
        <v>159</v>
      </c>
      <c r="G229" s="17">
        <v>38</v>
      </c>
      <c r="H229" s="17" t="s">
        <v>159</v>
      </c>
      <c r="I229" s="17">
        <v>27</v>
      </c>
      <c r="J229" s="20">
        <f t="shared" si="8"/>
        <v>5.9507999999999998E-2</v>
      </c>
      <c r="K229" s="20">
        <v>14</v>
      </c>
      <c r="L229" s="196">
        <v>0.6</v>
      </c>
      <c r="M229" s="208">
        <v>6201930000</v>
      </c>
      <c r="N229" s="208" t="s">
        <v>6</v>
      </c>
      <c r="O229" s="35"/>
      <c r="P229" s="59">
        <v>0.12</v>
      </c>
      <c r="Q229" s="57">
        <v>0.03</v>
      </c>
    </row>
    <row r="230" spans="1:17" x14ac:dyDescent="0.2">
      <c r="A230" s="206"/>
      <c r="B230" s="206"/>
      <c r="C230" s="5" t="s">
        <v>164</v>
      </c>
      <c r="D230" s="208"/>
      <c r="E230" s="17">
        <v>60</v>
      </c>
      <c r="F230" s="17" t="s">
        <v>159</v>
      </c>
      <c r="G230" s="17">
        <v>40</v>
      </c>
      <c r="H230" s="17" t="s">
        <v>159</v>
      </c>
      <c r="I230" s="17">
        <v>27</v>
      </c>
      <c r="J230" s="20">
        <f t="shared" ref="J230:J261" si="9">+E230*G230*I230/1000000</f>
        <v>6.4799999999999996E-2</v>
      </c>
      <c r="K230" s="20">
        <v>14</v>
      </c>
      <c r="L230" s="196"/>
      <c r="M230" s="208"/>
      <c r="N230" s="208"/>
      <c r="O230" s="35"/>
      <c r="P230" s="61"/>
      <c r="Q230" s="57"/>
    </row>
    <row r="231" spans="1:17" x14ac:dyDescent="0.2">
      <c r="A231" s="4" t="s">
        <v>389</v>
      </c>
      <c r="B231" s="4" t="s">
        <v>707</v>
      </c>
      <c r="C231" s="5" t="s">
        <v>390</v>
      </c>
      <c r="D231" s="17">
        <v>10</v>
      </c>
      <c r="E231" s="17">
        <v>60</v>
      </c>
      <c r="F231" s="17" t="s">
        <v>159</v>
      </c>
      <c r="G231" s="17">
        <v>35</v>
      </c>
      <c r="H231" s="17" t="s">
        <v>159</v>
      </c>
      <c r="I231" s="17">
        <v>40</v>
      </c>
      <c r="J231" s="20">
        <f t="shared" si="9"/>
        <v>8.4000000000000005E-2</v>
      </c>
      <c r="K231" s="20">
        <v>12.5</v>
      </c>
      <c r="L231" s="20">
        <v>1.1000000000000001</v>
      </c>
      <c r="M231" s="17">
        <v>6210400000</v>
      </c>
      <c r="N231" s="5" t="s">
        <v>6</v>
      </c>
      <c r="O231" s="35"/>
      <c r="P231" s="59">
        <v>0.12</v>
      </c>
      <c r="Q231" s="57">
        <v>0.03</v>
      </c>
    </row>
    <row r="232" spans="1:17" x14ac:dyDescent="0.2">
      <c r="A232" s="197" t="s">
        <v>756</v>
      </c>
      <c r="B232" s="197" t="s">
        <v>757</v>
      </c>
      <c r="C232" s="17" t="s">
        <v>8</v>
      </c>
      <c r="D232" s="188">
        <v>10</v>
      </c>
      <c r="E232" s="17">
        <v>50</v>
      </c>
      <c r="F232" s="17" t="s">
        <v>159</v>
      </c>
      <c r="G232" s="17">
        <v>32</v>
      </c>
      <c r="H232" s="17" t="s">
        <v>159</v>
      </c>
      <c r="I232" s="17">
        <v>30</v>
      </c>
      <c r="J232" s="20">
        <f t="shared" si="9"/>
        <v>4.8000000000000001E-2</v>
      </c>
      <c r="K232" s="20">
        <v>27</v>
      </c>
      <c r="L232" s="20">
        <v>1.3</v>
      </c>
      <c r="M232" s="188">
        <v>6210200000</v>
      </c>
      <c r="N232" s="188" t="s">
        <v>6</v>
      </c>
      <c r="O232" s="35"/>
      <c r="P232" s="59">
        <v>0.12</v>
      </c>
      <c r="Q232" s="57">
        <v>0.03</v>
      </c>
    </row>
    <row r="233" spans="1:17" x14ac:dyDescent="0.2">
      <c r="A233" s="198"/>
      <c r="B233" s="198"/>
      <c r="C233" s="17" t="s">
        <v>483</v>
      </c>
      <c r="D233" s="189"/>
      <c r="E233" s="17">
        <v>56</v>
      </c>
      <c r="F233" s="17" t="s">
        <v>159</v>
      </c>
      <c r="G233" s="17">
        <v>34</v>
      </c>
      <c r="H233" s="17" t="s">
        <v>159</v>
      </c>
      <c r="I233" s="17">
        <v>16</v>
      </c>
      <c r="J233" s="20">
        <f t="shared" si="9"/>
        <v>3.0464000000000001E-2</v>
      </c>
      <c r="K233" s="20">
        <v>17</v>
      </c>
      <c r="L233" s="20">
        <v>1.6</v>
      </c>
      <c r="M233" s="189"/>
      <c r="N233" s="189"/>
      <c r="O233" s="35"/>
      <c r="P233" s="59"/>
      <c r="Q233" s="57"/>
    </row>
    <row r="234" spans="1:17" x14ac:dyDescent="0.2">
      <c r="A234" s="4" t="s">
        <v>396</v>
      </c>
      <c r="B234" s="4" t="s">
        <v>708</v>
      </c>
      <c r="C234" s="5" t="s">
        <v>29</v>
      </c>
      <c r="D234" s="17">
        <v>10</v>
      </c>
      <c r="E234" s="17">
        <v>60</v>
      </c>
      <c r="F234" s="17" t="s">
        <v>159</v>
      </c>
      <c r="G234" s="17">
        <v>37</v>
      </c>
      <c r="H234" s="17" t="s">
        <v>159</v>
      </c>
      <c r="I234" s="17">
        <v>36</v>
      </c>
      <c r="J234" s="20">
        <f t="shared" si="9"/>
        <v>7.9920000000000005E-2</v>
      </c>
      <c r="K234" s="20">
        <v>10.5</v>
      </c>
      <c r="L234" s="20">
        <v>0.95</v>
      </c>
      <c r="M234" s="5">
        <v>6210400000</v>
      </c>
      <c r="N234" s="17" t="s">
        <v>6</v>
      </c>
      <c r="O234" s="35"/>
      <c r="P234" s="59">
        <v>0.12</v>
      </c>
      <c r="Q234" s="57">
        <v>0.03</v>
      </c>
    </row>
    <row r="235" spans="1:17" x14ac:dyDescent="0.2">
      <c r="A235" s="4" t="s">
        <v>397</v>
      </c>
      <c r="B235" s="4" t="s">
        <v>709</v>
      </c>
      <c r="C235" s="5" t="s">
        <v>29</v>
      </c>
      <c r="D235" s="17">
        <v>10</v>
      </c>
      <c r="E235" s="17">
        <v>60</v>
      </c>
      <c r="F235" s="17" t="s">
        <v>159</v>
      </c>
      <c r="G235" s="17">
        <v>37</v>
      </c>
      <c r="H235" s="17" t="s">
        <v>159</v>
      </c>
      <c r="I235" s="17">
        <v>37</v>
      </c>
      <c r="J235" s="20">
        <f t="shared" si="9"/>
        <v>8.2140000000000005E-2</v>
      </c>
      <c r="K235" s="20">
        <v>12</v>
      </c>
      <c r="L235" s="20">
        <v>1.1000000000000001</v>
      </c>
      <c r="M235" s="5">
        <v>6210400000</v>
      </c>
      <c r="N235" s="17" t="s">
        <v>6</v>
      </c>
      <c r="O235" s="35"/>
      <c r="P235" s="59">
        <v>0.12</v>
      </c>
      <c r="Q235" s="57">
        <v>0.03</v>
      </c>
    </row>
    <row r="236" spans="1:17" x14ac:dyDescent="0.2">
      <c r="A236" s="4" t="s">
        <v>398</v>
      </c>
      <c r="B236" s="4" t="s">
        <v>710</v>
      </c>
      <c r="C236" s="5" t="s">
        <v>28</v>
      </c>
      <c r="D236" s="17">
        <v>8</v>
      </c>
      <c r="E236" s="17">
        <v>60</v>
      </c>
      <c r="F236" s="17" t="s">
        <v>159</v>
      </c>
      <c r="G236" s="17">
        <v>40</v>
      </c>
      <c r="H236" s="17" t="s">
        <v>159</v>
      </c>
      <c r="I236" s="17">
        <v>36</v>
      </c>
      <c r="J236" s="20">
        <f t="shared" si="9"/>
        <v>8.6400000000000005E-2</v>
      </c>
      <c r="K236" s="20">
        <v>8.5</v>
      </c>
      <c r="L236" s="20">
        <v>0.9</v>
      </c>
      <c r="M236" s="23">
        <v>6103390090</v>
      </c>
      <c r="N236" s="5" t="s">
        <v>108</v>
      </c>
      <c r="O236" s="35"/>
      <c r="P236" s="59">
        <v>0.12</v>
      </c>
      <c r="Q236" s="57">
        <v>0.03</v>
      </c>
    </row>
    <row r="237" spans="1:17" x14ac:dyDescent="0.2">
      <c r="A237" s="206" t="s">
        <v>565</v>
      </c>
      <c r="B237" s="206" t="s">
        <v>711</v>
      </c>
      <c r="C237" s="5" t="s">
        <v>163</v>
      </c>
      <c r="D237" s="195">
        <v>20</v>
      </c>
      <c r="E237" s="17">
        <v>60</v>
      </c>
      <c r="F237" s="17" t="s">
        <v>159</v>
      </c>
      <c r="G237" s="17">
        <v>40</v>
      </c>
      <c r="H237" s="17" t="s">
        <v>159</v>
      </c>
      <c r="I237" s="17">
        <v>45</v>
      </c>
      <c r="J237" s="20">
        <f t="shared" si="9"/>
        <v>0.108</v>
      </c>
      <c r="K237" s="191">
        <v>16.3</v>
      </c>
      <c r="L237" s="191">
        <f>14.5/20</f>
        <v>0.72499999999999998</v>
      </c>
      <c r="M237" s="212">
        <v>6103390090</v>
      </c>
      <c r="N237" s="208" t="s">
        <v>108</v>
      </c>
      <c r="O237" s="35"/>
      <c r="P237" s="59">
        <v>0.12</v>
      </c>
      <c r="Q237" s="57">
        <v>0.03</v>
      </c>
    </row>
    <row r="238" spans="1:17" x14ac:dyDescent="0.2">
      <c r="A238" s="206"/>
      <c r="B238" s="206"/>
      <c r="C238" s="5" t="s">
        <v>167</v>
      </c>
      <c r="D238" s="195"/>
      <c r="E238" s="17">
        <v>60</v>
      </c>
      <c r="F238" s="17" t="s">
        <v>159</v>
      </c>
      <c r="G238" s="17">
        <v>40</v>
      </c>
      <c r="H238" s="17" t="s">
        <v>159</v>
      </c>
      <c r="I238" s="17">
        <v>50</v>
      </c>
      <c r="J238" s="20">
        <f t="shared" si="9"/>
        <v>0.12</v>
      </c>
      <c r="K238" s="192"/>
      <c r="L238" s="192"/>
      <c r="M238" s="212"/>
      <c r="N238" s="208"/>
      <c r="O238" s="35"/>
      <c r="P238" s="61"/>
      <c r="Q238" s="57"/>
    </row>
    <row r="239" spans="1:17" x14ac:dyDescent="0.2">
      <c r="A239" s="4" t="s">
        <v>531</v>
      </c>
      <c r="B239" s="4" t="s">
        <v>532</v>
      </c>
      <c r="C239" s="5" t="s">
        <v>23</v>
      </c>
      <c r="D239" s="17">
        <v>20</v>
      </c>
      <c r="E239" s="17">
        <v>60</v>
      </c>
      <c r="F239" s="17" t="s">
        <v>159</v>
      </c>
      <c r="G239" s="17">
        <v>40</v>
      </c>
      <c r="H239" s="17" t="s">
        <v>159</v>
      </c>
      <c r="I239" s="17">
        <v>35</v>
      </c>
      <c r="J239" s="20">
        <f t="shared" si="9"/>
        <v>8.4000000000000005E-2</v>
      </c>
      <c r="K239" s="20">
        <v>16.3</v>
      </c>
      <c r="L239" s="20">
        <f>14.5/20</f>
        <v>0.72499999999999998</v>
      </c>
      <c r="M239" s="23">
        <v>6104390090</v>
      </c>
      <c r="N239" s="5" t="s">
        <v>108</v>
      </c>
      <c r="O239" s="35"/>
      <c r="P239" s="59">
        <v>0.12</v>
      </c>
      <c r="Q239" s="57">
        <v>0.03</v>
      </c>
    </row>
    <row r="240" spans="1:17" x14ac:dyDescent="0.2">
      <c r="A240" s="4" t="s">
        <v>392</v>
      </c>
      <c r="B240" s="4" t="s">
        <v>713</v>
      </c>
      <c r="C240" s="5" t="s">
        <v>29</v>
      </c>
      <c r="D240" s="5">
        <v>10</v>
      </c>
      <c r="E240" s="17">
        <v>60</v>
      </c>
      <c r="F240" s="17" t="s">
        <v>159</v>
      </c>
      <c r="G240" s="17">
        <v>40</v>
      </c>
      <c r="H240" s="17" t="s">
        <v>159</v>
      </c>
      <c r="I240" s="17">
        <v>38</v>
      </c>
      <c r="J240" s="20">
        <f t="shared" si="9"/>
        <v>9.1200000000000003E-2</v>
      </c>
      <c r="K240" s="20">
        <v>11.7</v>
      </c>
      <c r="L240" s="20">
        <f>10.2/10</f>
        <v>1.02</v>
      </c>
      <c r="M240" s="5">
        <v>6210400000</v>
      </c>
      <c r="N240" s="5" t="s">
        <v>6</v>
      </c>
      <c r="O240" s="35"/>
      <c r="P240" s="59">
        <v>0.12</v>
      </c>
      <c r="Q240" s="57">
        <v>0.03</v>
      </c>
    </row>
    <row r="241" spans="1:17" x14ac:dyDescent="0.2">
      <c r="A241" s="4" t="s">
        <v>391</v>
      </c>
      <c r="B241" s="4" t="s">
        <v>712</v>
      </c>
      <c r="C241" s="5" t="s">
        <v>23</v>
      </c>
      <c r="D241" s="5">
        <v>10</v>
      </c>
      <c r="E241" s="17">
        <v>60</v>
      </c>
      <c r="F241" s="17" t="s">
        <v>159</v>
      </c>
      <c r="G241" s="17">
        <v>40</v>
      </c>
      <c r="H241" s="17" t="s">
        <v>159</v>
      </c>
      <c r="I241" s="17">
        <v>38</v>
      </c>
      <c r="J241" s="20">
        <f t="shared" si="9"/>
        <v>9.1200000000000003E-2</v>
      </c>
      <c r="K241" s="20">
        <v>10</v>
      </c>
      <c r="L241" s="20">
        <f>8.6/10</f>
        <v>0.86</v>
      </c>
      <c r="M241" s="5">
        <v>6210500000</v>
      </c>
      <c r="N241" s="5" t="s">
        <v>6</v>
      </c>
      <c r="O241" s="35"/>
      <c r="P241" s="59">
        <v>0.12</v>
      </c>
      <c r="Q241" s="57">
        <v>0.03</v>
      </c>
    </row>
    <row r="242" spans="1:17" x14ac:dyDescent="0.2">
      <c r="A242" s="197" t="s">
        <v>444</v>
      </c>
      <c r="B242" s="197" t="s">
        <v>714</v>
      </c>
      <c r="C242" s="17" t="s">
        <v>169</v>
      </c>
      <c r="D242" s="188">
        <v>8</v>
      </c>
      <c r="E242" s="17">
        <v>65</v>
      </c>
      <c r="F242" s="17" t="s">
        <v>159</v>
      </c>
      <c r="G242" s="17">
        <v>37</v>
      </c>
      <c r="H242" s="17" t="s">
        <v>159</v>
      </c>
      <c r="I242" s="17">
        <v>43</v>
      </c>
      <c r="J242" s="20">
        <f t="shared" si="9"/>
        <v>0.10341500000000001</v>
      </c>
      <c r="K242" s="20">
        <v>8</v>
      </c>
      <c r="L242" s="20">
        <v>0.93799999999999994</v>
      </c>
      <c r="M242" s="188">
        <v>6201930000</v>
      </c>
      <c r="N242" s="188" t="s">
        <v>6</v>
      </c>
      <c r="O242" s="35"/>
      <c r="P242" s="59">
        <v>0.12</v>
      </c>
      <c r="Q242" s="57">
        <v>0.03</v>
      </c>
    </row>
    <row r="243" spans="1:17" x14ac:dyDescent="0.2">
      <c r="A243" s="198"/>
      <c r="B243" s="198"/>
      <c r="C243" s="17" t="s">
        <v>158</v>
      </c>
      <c r="D243" s="189"/>
      <c r="E243" s="17">
        <v>72</v>
      </c>
      <c r="F243" s="17" t="s">
        <v>159</v>
      </c>
      <c r="G243" s="17">
        <v>40</v>
      </c>
      <c r="H243" s="17" t="s">
        <v>159</v>
      </c>
      <c r="I243" s="17">
        <v>73</v>
      </c>
      <c r="J243" s="20">
        <f t="shared" si="9"/>
        <v>0.21024000000000001</v>
      </c>
      <c r="K243" s="20">
        <v>11</v>
      </c>
      <c r="L243" s="20">
        <v>1.3160000000000001</v>
      </c>
      <c r="M243" s="189"/>
      <c r="N243" s="189"/>
      <c r="O243" s="35"/>
      <c r="P243" s="61"/>
      <c r="Q243" s="57"/>
    </row>
    <row r="244" spans="1:17" x14ac:dyDescent="0.2">
      <c r="A244" s="197" t="s">
        <v>445</v>
      </c>
      <c r="B244" s="197" t="s">
        <v>715</v>
      </c>
      <c r="C244" s="17" t="s">
        <v>169</v>
      </c>
      <c r="D244" s="188">
        <v>10</v>
      </c>
      <c r="E244" s="17">
        <v>64</v>
      </c>
      <c r="F244" s="17" t="s">
        <v>159</v>
      </c>
      <c r="G244" s="17">
        <v>37</v>
      </c>
      <c r="H244" s="17" t="s">
        <v>159</v>
      </c>
      <c r="I244" s="17">
        <v>47</v>
      </c>
      <c r="J244" s="20">
        <f t="shared" si="9"/>
        <v>0.11129600000000001</v>
      </c>
      <c r="K244" s="20">
        <v>8.15</v>
      </c>
      <c r="L244" s="20">
        <v>0.76500000000000001</v>
      </c>
      <c r="M244" s="188">
        <v>6201930000</v>
      </c>
      <c r="N244" s="81" t="s">
        <v>6</v>
      </c>
      <c r="O244" s="35"/>
      <c r="P244" s="59">
        <v>0.12</v>
      </c>
      <c r="Q244" s="57">
        <v>0.03</v>
      </c>
    </row>
    <row r="245" spans="1:17" x14ac:dyDescent="0.2">
      <c r="A245" s="198"/>
      <c r="B245" s="198"/>
      <c r="C245" s="17" t="s">
        <v>158</v>
      </c>
      <c r="D245" s="189"/>
      <c r="E245" s="17">
        <v>71</v>
      </c>
      <c r="F245" s="17" t="s">
        <v>159</v>
      </c>
      <c r="G245" s="17">
        <v>40</v>
      </c>
      <c r="H245" s="17" t="s">
        <v>159</v>
      </c>
      <c r="I245" s="17">
        <v>47</v>
      </c>
      <c r="J245" s="20">
        <f t="shared" si="9"/>
        <v>0.13347999999999999</v>
      </c>
      <c r="K245" s="20">
        <v>12.56</v>
      </c>
      <c r="L245" s="20">
        <v>1.206</v>
      </c>
      <c r="M245" s="189"/>
      <c r="N245" s="47"/>
      <c r="O245" s="35"/>
      <c r="P245" s="61"/>
      <c r="Q245" s="57"/>
    </row>
    <row r="246" spans="1:17" x14ac:dyDescent="0.2">
      <c r="A246" s="197" t="s">
        <v>566</v>
      </c>
      <c r="B246" s="197" t="s">
        <v>567</v>
      </c>
      <c r="C246" s="17" t="s">
        <v>524</v>
      </c>
      <c r="D246" s="188">
        <v>10</v>
      </c>
      <c r="E246" s="17">
        <v>34</v>
      </c>
      <c r="F246" s="17" t="s">
        <v>159</v>
      </c>
      <c r="G246" s="17">
        <v>26</v>
      </c>
      <c r="H246" s="17" t="s">
        <v>159</v>
      </c>
      <c r="I246" s="17">
        <v>27</v>
      </c>
      <c r="J246" s="20">
        <f t="shared" si="9"/>
        <v>2.3868E-2</v>
      </c>
      <c r="K246" s="191">
        <v>5.5</v>
      </c>
      <c r="L246" s="191">
        <v>4</v>
      </c>
      <c r="M246" s="188">
        <v>6201930000</v>
      </c>
      <c r="N246" s="188" t="s">
        <v>6</v>
      </c>
      <c r="O246" s="35"/>
      <c r="P246" s="59">
        <v>0.12</v>
      </c>
      <c r="Q246" s="57">
        <v>0.03</v>
      </c>
    </row>
    <row r="247" spans="1:17" x14ac:dyDescent="0.2">
      <c r="A247" s="204"/>
      <c r="B247" s="204"/>
      <c r="C247" s="17" t="s">
        <v>525</v>
      </c>
      <c r="D247" s="194"/>
      <c r="E247" s="17">
        <v>36</v>
      </c>
      <c r="F247" s="17" t="s">
        <v>159</v>
      </c>
      <c r="G247" s="17">
        <v>26</v>
      </c>
      <c r="H247" s="17" t="s">
        <v>159</v>
      </c>
      <c r="I247" s="17">
        <v>27</v>
      </c>
      <c r="J247" s="20">
        <f t="shared" si="9"/>
        <v>2.5271999999999999E-2</v>
      </c>
      <c r="K247" s="193"/>
      <c r="L247" s="193"/>
      <c r="M247" s="194"/>
      <c r="N247" s="194"/>
      <c r="O247" s="35"/>
      <c r="P247" s="61"/>
      <c r="Q247" s="57"/>
    </row>
    <row r="248" spans="1:17" x14ac:dyDescent="0.2">
      <c r="A248" s="204"/>
      <c r="B248" s="204"/>
      <c r="C248" s="17" t="s">
        <v>526</v>
      </c>
      <c r="D248" s="194"/>
      <c r="E248" s="17">
        <v>40</v>
      </c>
      <c r="F248" s="17" t="s">
        <v>159</v>
      </c>
      <c r="G248" s="17">
        <v>28</v>
      </c>
      <c r="H248" s="17" t="s">
        <v>159</v>
      </c>
      <c r="I248" s="17">
        <v>27</v>
      </c>
      <c r="J248" s="20">
        <f t="shared" si="9"/>
        <v>3.024E-2</v>
      </c>
      <c r="K248" s="193"/>
      <c r="L248" s="193"/>
      <c r="M248" s="194"/>
      <c r="N248" s="194"/>
      <c r="O248" s="35"/>
      <c r="P248" s="61"/>
      <c r="Q248" s="57"/>
    </row>
    <row r="249" spans="1:17" s="18" customFormat="1" x14ac:dyDescent="0.2">
      <c r="A249" s="198"/>
      <c r="B249" s="198"/>
      <c r="C249" s="17" t="s">
        <v>155</v>
      </c>
      <c r="D249" s="189"/>
      <c r="E249" s="17">
        <v>45</v>
      </c>
      <c r="F249" s="17" t="s">
        <v>159</v>
      </c>
      <c r="G249" s="17">
        <v>28</v>
      </c>
      <c r="H249" s="17" t="s">
        <v>159</v>
      </c>
      <c r="I249" s="17">
        <v>27</v>
      </c>
      <c r="J249" s="20">
        <f t="shared" si="9"/>
        <v>3.4020000000000002E-2</v>
      </c>
      <c r="K249" s="192"/>
      <c r="L249" s="192"/>
      <c r="M249" s="189"/>
      <c r="N249" s="189"/>
      <c r="O249" s="36"/>
      <c r="P249" s="61"/>
      <c r="Q249" s="57"/>
    </row>
    <row r="250" spans="1:17" s="18" customFormat="1" x14ac:dyDescent="0.2">
      <c r="A250" s="48" t="s">
        <v>568</v>
      </c>
      <c r="B250" s="48" t="s">
        <v>569</v>
      </c>
      <c r="C250" s="17" t="s">
        <v>168</v>
      </c>
      <c r="D250" s="47">
        <v>10</v>
      </c>
      <c r="E250" s="17">
        <v>50</v>
      </c>
      <c r="F250" s="17" t="s">
        <v>159</v>
      </c>
      <c r="G250" s="17">
        <v>32</v>
      </c>
      <c r="H250" s="17" t="s">
        <v>159</v>
      </c>
      <c r="I250" s="17">
        <v>27</v>
      </c>
      <c r="J250" s="20">
        <f t="shared" si="9"/>
        <v>4.3200000000000002E-2</v>
      </c>
      <c r="K250" s="20">
        <v>6.5</v>
      </c>
      <c r="L250" s="20">
        <v>5</v>
      </c>
      <c r="M250" s="47">
        <v>6201930000</v>
      </c>
      <c r="N250" s="47" t="s">
        <v>6</v>
      </c>
      <c r="O250" s="36"/>
      <c r="P250" s="59">
        <v>0.12</v>
      </c>
      <c r="Q250" s="57">
        <v>0.03</v>
      </c>
    </row>
    <row r="251" spans="1:17" x14ac:dyDescent="0.2">
      <c r="A251" s="213" t="s">
        <v>413</v>
      </c>
      <c r="B251" s="213" t="s">
        <v>415</v>
      </c>
      <c r="C251" s="17" t="s">
        <v>163</v>
      </c>
      <c r="D251" s="195">
        <v>25</v>
      </c>
      <c r="E251" s="17">
        <v>50</v>
      </c>
      <c r="F251" s="17" t="s">
        <v>159</v>
      </c>
      <c r="G251" s="17">
        <v>32</v>
      </c>
      <c r="H251" s="17" t="s">
        <v>159</v>
      </c>
      <c r="I251" s="17">
        <v>27</v>
      </c>
      <c r="J251" s="20">
        <f t="shared" si="9"/>
        <v>4.3200000000000002E-2</v>
      </c>
      <c r="K251" s="20">
        <v>16</v>
      </c>
      <c r="L251" s="20">
        <v>0.6</v>
      </c>
      <c r="M251" s="188">
        <v>6210400000</v>
      </c>
      <c r="N251" s="17" t="s">
        <v>6</v>
      </c>
      <c r="P251" s="59">
        <v>0.12</v>
      </c>
      <c r="Q251" s="57">
        <v>0.03</v>
      </c>
    </row>
    <row r="252" spans="1:17" x14ac:dyDescent="0.2">
      <c r="A252" s="213"/>
      <c r="B252" s="213"/>
      <c r="C252" s="17" t="s">
        <v>107</v>
      </c>
      <c r="D252" s="195"/>
      <c r="E252" s="17">
        <v>50</v>
      </c>
      <c r="F252" s="17" t="s">
        <v>159</v>
      </c>
      <c r="G252" s="17">
        <v>32</v>
      </c>
      <c r="H252" s="17" t="s">
        <v>159</v>
      </c>
      <c r="I252" s="17">
        <v>39</v>
      </c>
      <c r="J252" s="20">
        <f t="shared" si="9"/>
        <v>6.2399999999999997E-2</v>
      </c>
      <c r="K252" s="20">
        <v>19</v>
      </c>
      <c r="L252" s="20">
        <v>0.72</v>
      </c>
      <c r="M252" s="189"/>
      <c r="N252" s="17" t="s">
        <v>6</v>
      </c>
      <c r="P252" s="59">
        <v>0.12</v>
      </c>
      <c r="Q252" s="57">
        <v>0.03</v>
      </c>
    </row>
    <row r="253" spans="1:17" x14ac:dyDescent="0.2">
      <c r="A253" s="213" t="s">
        <v>414</v>
      </c>
      <c r="B253" s="213" t="s">
        <v>716</v>
      </c>
      <c r="C253" s="17" t="s">
        <v>7</v>
      </c>
      <c r="D253" s="195">
        <v>20</v>
      </c>
      <c r="E253" s="17">
        <v>50</v>
      </c>
      <c r="F253" s="17" t="s">
        <v>159</v>
      </c>
      <c r="G253" s="17">
        <v>30</v>
      </c>
      <c r="H253" s="17" t="s">
        <v>159</v>
      </c>
      <c r="I253" s="17">
        <v>38</v>
      </c>
      <c r="J253" s="20">
        <f t="shared" si="9"/>
        <v>5.7000000000000002E-2</v>
      </c>
      <c r="K253" s="20">
        <v>24.5</v>
      </c>
      <c r="L253" s="20">
        <v>0.94</v>
      </c>
      <c r="M253" s="188">
        <v>6210400000</v>
      </c>
      <c r="N253" s="17" t="s">
        <v>6</v>
      </c>
      <c r="P253" s="59">
        <v>0.12</v>
      </c>
      <c r="Q253" s="57">
        <v>0.03</v>
      </c>
    </row>
    <row r="254" spans="1:17" x14ac:dyDescent="0.2">
      <c r="A254" s="213"/>
      <c r="B254" s="213"/>
      <c r="C254" s="17" t="s">
        <v>158</v>
      </c>
      <c r="D254" s="195"/>
      <c r="E254" s="17">
        <v>50</v>
      </c>
      <c r="F254" s="17" t="s">
        <v>159</v>
      </c>
      <c r="G254" s="17">
        <v>30</v>
      </c>
      <c r="H254" s="17" t="s">
        <v>159</v>
      </c>
      <c r="I254" s="17">
        <v>40</v>
      </c>
      <c r="J254" s="20">
        <f t="shared" si="9"/>
        <v>0.06</v>
      </c>
      <c r="K254" s="20">
        <v>26</v>
      </c>
      <c r="L254" s="20">
        <v>1</v>
      </c>
      <c r="M254" s="189"/>
      <c r="N254" s="17" t="s">
        <v>6</v>
      </c>
      <c r="P254" s="59">
        <v>0.12</v>
      </c>
      <c r="Q254" s="57">
        <v>0.03</v>
      </c>
    </row>
    <row r="255" spans="1:17" s="18" customFormat="1" x14ac:dyDescent="0.2">
      <c r="A255" s="197" t="s">
        <v>446</v>
      </c>
      <c r="B255" s="197" t="s">
        <v>717</v>
      </c>
      <c r="C255" s="17" t="s">
        <v>163</v>
      </c>
      <c r="D255" s="188">
        <v>25</v>
      </c>
      <c r="E255" s="17">
        <v>40</v>
      </c>
      <c r="F255" s="17" t="s">
        <v>159</v>
      </c>
      <c r="G255" s="17">
        <v>26</v>
      </c>
      <c r="H255" s="17" t="s">
        <v>159</v>
      </c>
      <c r="I255" s="17">
        <v>17</v>
      </c>
      <c r="J255" s="20">
        <f t="shared" si="9"/>
        <v>1.7680000000000001E-2</v>
      </c>
      <c r="K255" s="191">
        <v>7</v>
      </c>
      <c r="L255" s="191">
        <f>6/D255</f>
        <v>0.24</v>
      </c>
      <c r="M255" s="188">
        <v>6210400000</v>
      </c>
      <c r="N255" s="188" t="s">
        <v>6</v>
      </c>
      <c r="O255" s="44"/>
      <c r="P255" s="59">
        <v>0.12</v>
      </c>
      <c r="Q255" s="57">
        <v>0.03</v>
      </c>
    </row>
    <row r="256" spans="1:17" s="18" customFormat="1" x14ac:dyDescent="0.2">
      <c r="A256" s="198"/>
      <c r="B256" s="198"/>
      <c r="C256" s="17" t="s">
        <v>107</v>
      </c>
      <c r="D256" s="189"/>
      <c r="E256" s="17">
        <v>40</v>
      </c>
      <c r="F256" s="17" t="s">
        <v>159</v>
      </c>
      <c r="G256" s="17">
        <v>26</v>
      </c>
      <c r="H256" s="17" t="s">
        <v>159</v>
      </c>
      <c r="I256" s="17">
        <v>19</v>
      </c>
      <c r="J256" s="20">
        <f t="shared" si="9"/>
        <v>1.976E-2</v>
      </c>
      <c r="K256" s="192"/>
      <c r="L256" s="192"/>
      <c r="M256" s="189"/>
      <c r="N256" s="189"/>
      <c r="O256" s="44"/>
      <c r="P256" s="61"/>
      <c r="Q256" s="57"/>
    </row>
    <row r="257" spans="1:17" s="18" customFormat="1" x14ac:dyDescent="0.2">
      <c r="A257" s="197" t="s">
        <v>447</v>
      </c>
      <c r="B257" s="197" t="s">
        <v>718</v>
      </c>
      <c r="C257" s="17" t="s">
        <v>7</v>
      </c>
      <c r="D257" s="188">
        <v>25</v>
      </c>
      <c r="E257" s="17">
        <v>50</v>
      </c>
      <c r="F257" s="17" t="s">
        <v>159</v>
      </c>
      <c r="G257" s="17">
        <v>30</v>
      </c>
      <c r="H257" s="17" t="s">
        <v>159</v>
      </c>
      <c r="I257" s="17">
        <v>24</v>
      </c>
      <c r="J257" s="20">
        <f t="shared" si="9"/>
        <v>3.5999999999999997E-2</v>
      </c>
      <c r="K257" s="20">
        <v>9</v>
      </c>
      <c r="L257" s="20">
        <f>8/D257</f>
        <v>0.32</v>
      </c>
      <c r="M257" s="188">
        <v>6210400000</v>
      </c>
      <c r="N257" s="188" t="s">
        <v>6</v>
      </c>
      <c r="O257" s="44"/>
      <c r="P257" s="59">
        <v>0.12</v>
      </c>
      <c r="Q257" s="57">
        <v>0.03</v>
      </c>
    </row>
    <row r="258" spans="1:17" s="18" customFormat="1" x14ac:dyDescent="0.2">
      <c r="A258" s="198"/>
      <c r="B258" s="198"/>
      <c r="C258" s="17" t="s">
        <v>158</v>
      </c>
      <c r="D258" s="189"/>
      <c r="E258" s="17">
        <v>50</v>
      </c>
      <c r="F258" s="17" t="s">
        <v>159</v>
      </c>
      <c r="G258" s="17">
        <v>30</v>
      </c>
      <c r="H258" s="17" t="s">
        <v>159</v>
      </c>
      <c r="I258" s="17">
        <v>26</v>
      </c>
      <c r="J258" s="20">
        <f t="shared" si="9"/>
        <v>3.9E-2</v>
      </c>
      <c r="K258" s="20">
        <v>10</v>
      </c>
      <c r="L258" s="20">
        <f>9/D257</f>
        <v>0.36</v>
      </c>
      <c r="M258" s="189"/>
      <c r="N258" s="189"/>
      <c r="O258" s="44"/>
      <c r="P258" s="61"/>
      <c r="Q258" s="57"/>
    </row>
    <row r="259" spans="1:17" x14ac:dyDescent="0.2">
      <c r="A259" s="19" t="s">
        <v>448</v>
      </c>
      <c r="B259" s="19" t="s">
        <v>719</v>
      </c>
      <c r="C259" s="17" t="s">
        <v>8</v>
      </c>
      <c r="D259" s="17">
        <v>25</v>
      </c>
      <c r="E259" s="17">
        <v>50</v>
      </c>
      <c r="F259" s="17" t="s">
        <v>159</v>
      </c>
      <c r="G259" s="17">
        <v>28</v>
      </c>
      <c r="H259" s="17" t="s">
        <v>159</v>
      </c>
      <c r="I259" s="17">
        <v>24</v>
      </c>
      <c r="J259" s="20">
        <f t="shared" si="9"/>
        <v>3.3599999999999998E-2</v>
      </c>
      <c r="K259" s="20">
        <v>13</v>
      </c>
      <c r="L259" s="20">
        <v>0.48</v>
      </c>
      <c r="M259" s="17">
        <v>6210400000</v>
      </c>
      <c r="N259" s="17" t="s">
        <v>6</v>
      </c>
      <c r="P259" s="59">
        <v>0.12</v>
      </c>
      <c r="Q259" s="57">
        <v>0.03</v>
      </c>
    </row>
    <row r="260" spans="1:17" x14ac:dyDescent="0.2">
      <c r="A260" s="19" t="s">
        <v>481</v>
      </c>
      <c r="B260" s="19" t="s">
        <v>720</v>
      </c>
      <c r="C260" s="17" t="s">
        <v>29</v>
      </c>
      <c r="D260" s="17">
        <v>25</v>
      </c>
      <c r="E260" s="17">
        <v>50</v>
      </c>
      <c r="F260" s="17" t="s">
        <v>159</v>
      </c>
      <c r="G260" s="17">
        <v>30</v>
      </c>
      <c r="H260" s="17" t="s">
        <v>159</v>
      </c>
      <c r="I260" s="17">
        <v>28</v>
      </c>
      <c r="J260" s="20">
        <f t="shared" si="9"/>
        <v>4.2000000000000003E-2</v>
      </c>
      <c r="K260" s="20">
        <v>17</v>
      </c>
      <c r="L260" s="20">
        <v>0.64</v>
      </c>
      <c r="M260" s="17">
        <v>6210400000</v>
      </c>
      <c r="N260" s="17" t="s">
        <v>6</v>
      </c>
      <c r="P260" s="59">
        <v>0.12</v>
      </c>
      <c r="Q260" s="57">
        <v>0.03</v>
      </c>
    </row>
    <row r="261" spans="1:17" x14ac:dyDescent="0.2">
      <c r="A261" s="197" t="s">
        <v>482</v>
      </c>
      <c r="B261" s="197" t="s">
        <v>721</v>
      </c>
      <c r="C261" s="17" t="s">
        <v>857</v>
      </c>
      <c r="D261" s="188">
        <v>50</v>
      </c>
      <c r="E261" s="17">
        <v>48</v>
      </c>
      <c r="F261" s="17" t="s">
        <v>159</v>
      </c>
      <c r="G261" s="17">
        <v>35</v>
      </c>
      <c r="H261" s="17" t="s">
        <v>159</v>
      </c>
      <c r="I261" s="17">
        <v>28</v>
      </c>
      <c r="J261" s="20">
        <f t="shared" si="9"/>
        <v>4.7039999999999998E-2</v>
      </c>
      <c r="K261" s="191">
        <v>7</v>
      </c>
      <c r="L261" s="191">
        <v>0.12</v>
      </c>
      <c r="M261" s="188">
        <v>6210400000</v>
      </c>
      <c r="N261" s="188" t="s">
        <v>6</v>
      </c>
      <c r="P261" s="59"/>
      <c r="Q261" s="57"/>
    </row>
    <row r="262" spans="1:17" s="18" customFormat="1" x14ac:dyDescent="0.2">
      <c r="A262" s="204"/>
      <c r="B262" s="204"/>
      <c r="C262" s="17" t="s">
        <v>524</v>
      </c>
      <c r="D262" s="194"/>
      <c r="E262" s="17">
        <v>44</v>
      </c>
      <c r="F262" s="17" t="s">
        <v>159</v>
      </c>
      <c r="G262" s="17">
        <v>30</v>
      </c>
      <c r="H262" s="17" t="s">
        <v>159</v>
      </c>
      <c r="I262" s="17">
        <v>17</v>
      </c>
      <c r="J262" s="20">
        <f t="shared" ref="J262:J293" si="10">+E262*G262*I262/1000000</f>
        <v>2.2440000000000002E-2</v>
      </c>
      <c r="K262" s="193"/>
      <c r="L262" s="193"/>
      <c r="M262" s="194"/>
      <c r="N262" s="194"/>
      <c r="O262" s="44"/>
      <c r="P262" s="59">
        <v>0.12</v>
      </c>
      <c r="Q262" s="57">
        <v>0.03</v>
      </c>
    </row>
    <row r="263" spans="1:17" s="18" customFormat="1" x14ac:dyDescent="0.2">
      <c r="A263" s="204"/>
      <c r="B263" s="204"/>
      <c r="C263" s="17" t="s">
        <v>525</v>
      </c>
      <c r="D263" s="194"/>
      <c r="E263" s="17">
        <v>48</v>
      </c>
      <c r="F263" s="17" t="s">
        <v>159</v>
      </c>
      <c r="G263" s="17">
        <v>35</v>
      </c>
      <c r="H263" s="17" t="s">
        <v>159</v>
      </c>
      <c r="I263" s="17">
        <v>28</v>
      </c>
      <c r="J263" s="20">
        <f t="shared" si="10"/>
        <v>4.7039999999999998E-2</v>
      </c>
      <c r="K263" s="193"/>
      <c r="L263" s="193"/>
      <c r="M263" s="194"/>
      <c r="N263" s="194"/>
      <c r="O263" s="44"/>
      <c r="P263" s="61"/>
      <c r="Q263" s="57"/>
    </row>
    <row r="264" spans="1:17" s="18" customFormat="1" x14ac:dyDescent="0.2">
      <c r="A264" s="198"/>
      <c r="B264" s="198"/>
      <c r="C264" s="17" t="s">
        <v>526</v>
      </c>
      <c r="D264" s="189"/>
      <c r="E264" s="17">
        <v>48</v>
      </c>
      <c r="F264" s="17" t="s">
        <v>159</v>
      </c>
      <c r="G264" s="17">
        <v>35</v>
      </c>
      <c r="H264" s="17" t="s">
        <v>159</v>
      </c>
      <c r="I264" s="17">
        <v>28</v>
      </c>
      <c r="J264" s="20">
        <f t="shared" si="10"/>
        <v>4.7039999999999998E-2</v>
      </c>
      <c r="K264" s="192"/>
      <c r="L264" s="192"/>
      <c r="M264" s="189"/>
      <c r="N264" s="189"/>
      <c r="O264" s="44"/>
      <c r="P264" s="61"/>
      <c r="Q264" s="57"/>
    </row>
    <row r="265" spans="1:17" x14ac:dyDescent="0.2">
      <c r="A265" s="213" t="s">
        <v>449</v>
      </c>
      <c r="B265" s="213" t="s">
        <v>722</v>
      </c>
      <c r="C265" s="17" t="s">
        <v>86</v>
      </c>
      <c r="D265" s="17">
        <v>10</v>
      </c>
      <c r="E265" s="17">
        <v>60</v>
      </c>
      <c r="F265" s="17" t="s">
        <v>159</v>
      </c>
      <c r="G265" s="17">
        <v>41</v>
      </c>
      <c r="H265" s="17" t="s">
        <v>159</v>
      </c>
      <c r="I265" s="17">
        <v>40</v>
      </c>
      <c r="J265" s="20">
        <f t="shared" si="10"/>
        <v>9.8400000000000001E-2</v>
      </c>
      <c r="K265" s="20">
        <v>12.2</v>
      </c>
      <c r="L265" s="20">
        <f>11.2/10</f>
        <v>1.1199999999999999</v>
      </c>
      <c r="M265" s="195">
        <v>6210400000</v>
      </c>
      <c r="N265" s="195" t="s">
        <v>6</v>
      </c>
      <c r="P265" s="59">
        <v>0.12</v>
      </c>
      <c r="Q265" s="57">
        <v>0.03</v>
      </c>
    </row>
    <row r="266" spans="1:17" x14ac:dyDescent="0.2">
      <c r="A266" s="213"/>
      <c r="B266" s="213"/>
      <c r="C266" s="17" t="s">
        <v>483</v>
      </c>
      <c r="D266" s="17">
        <v>8</v>
      </c>
      <c r="E266" s="17">
        <v>60</v>
      </c>
      <c r="F266" s="17" t="s">
        <v>159</v>
      </c>
      <c r="G266" s="17">
        <v>40</v>
      </c>
      <c r="H266" s="17" t="s">
        <v>159</v>
      </c>
      <c r="I266" s="17">
        <v>40</v>
      </c>
      <c r="J266" s="20">
        <f t="shared" si="10"/>
        <v>9.6000000000000002E-2</v>
      </c>
      <c r="K266" s="20">
        <v>10.15</v>
      </c>
      <c r="L266" s="20">
        <v>1.14375</v>
      </c>
      <c r="M266" s="195"/>
      <c r="N266" s="195"/>
      <c r="P266" s="61"/>
      <c r="Q266" s="57"/>
    </row>
    <row r="267" spans="1:17" s="18" customFormat="1" x14ac:dyDescent="0.2">
      <c r="A267" s="197" t="s">
        <v>571</v>
      </c>
      <c r="B267" s="197" t="s">
        <v>724</v>
      </c>
      <c r="C267" s="17" t="s">
        <v>7</v>
      </c>
      <c r="D267" s="188">
        <v>10</v>
      </c>
      <c r="E267" s="17">
        <v>60</v>
      </c>
      <c r="F267" s="17" t="s">
        <v>159</v>
      </c>
      <c r="G267" s="17">
        <v>40</v>
      </c>
      <c r="H267" s="17" t="s">
        <v>159</v>
      </c>
      <c r="I267" s="17">
        <v>26</v>
      </c>
      <c r="J267" s="20">
        <f t="shared" si="10"/>
        <v>6.2399999999999997E-2</v>
      </c>
      <c r="K267" s="20">
        <v>9</v>
      </c>
      <c r="L267" s="20">
        <v>0.8</v>
      </c>
      <c r="M267" s="188">
        <v>6201930000</v>
      </c>
      <c r="N267" s="188" t="s">
        <v>108</v>
      </c>
      <c r="O267" s="44"/>
      <c r="P267" s="59">
        <v>0.12</v>
      </c>
      <c r="Q267" s="57">
        <v>0.03</v>
      </c>
    </row>
    <row r="268" spans="1:17" s="18" customFormat="1" x14ac:dyDescent="0.2">
      <c r="A268" s="198"/>
      <c r="B268" s="198"/>
      <c r="C268" s="17" t="s">
        <v>158</v>
      </c>
      <c r="D268" s="189"/>
      <c r="E268" s="17">
        <v>60</v>
      </c>
      <c r="F268" s="17" t="s">
        <v>159</v>
      </c>
      <c r="G268" s="17">
        <v>40</v>
      </c>
      <c r="H268" s="17" t="s">
        <v>159</v>
      </c>
      <c r="I268" s="17">
        <v>28</v>
      </c>
      <c r="J268" s="20">
        <f t="shared" si="10"/>
        <v>6.7199999999999996E-2</v>
      </c>
      <c r="K268" s="20">
        <v>11</v>
      </c>
      <c r="L268" s="20">
        <v>1</v>
      </c>
      <c r="M268" s="189"/>
      <c r="N268" s="189"/>
      <c r="O268" s="44"/>
      <c r="P268" s="61"/>
      <c r="Q268" s="57"/>
    </row>
    <row r="269" spans="1:17" s="18" customFormat="1" x14ac:dyDescent="0.2">
      <c r="A269" s="197" t="s">
        <v>570</v>
      </c>
      <c r="B269" s="197" t="s">
        <v>723</v>
      </c>
      <c r="C269" s="17" t="s">
        <v>169</v>
      </c>
      <c r="D269" s="188">
        <v>10</v>
      </c>
      <c r="E269" s="17">
        <v>60</v>
      </c>
      <c r="F269" s="17" t="s">
        <v>159</v>
      </c>
      <c r="G269" s="17">
        <v>40</v>
      </c>
      <c r="H269" s="17" t="s">
        <v>159</v>
      </c>
      <c r="I269" s="17">
        <v>26</v>
      </c>
      <c r="J269" s="20">
        <f t="shared" si="10"/>
        <v>6.2399999999999997E-2</v>
      </c>
      <c r="K269" s="20">
        <v>9</v>
      </c>
      <c r="L269" s="20">
        <v>0.8</v>
      </c>
      <c r="M269" s="188">
        <v>6202930000</v>
      </c>
      <c r="N269" s="188" t="s">
        <v>108</v>
      </c>
      <c r="O269" s="44"/>
      <c r="P269" s="59">
        <v>0.12</v>
      </c>
      <c r="Q269" s="57">
        <v>0.03</v>
      </c>
    </row>
    <row r="270" spans="1:17" s="18" customFormat="1" x14ac:dyDescent="0.2">
      <c r="A270" s="198"/>
      <c r="B270" s="198"/>
      <c r="C270" s="17" t="s">
        <v>168</v>
      </c>
      <c r="D270" s="189"/>
      <c r="E270" s="17">
        <v>60</v>
      </c>
      <c r="F270" s="17" t="s">
        <v>159</v>
      </c>
      <c r="G270" s="17">
        <v>40</v>
      </c>
      <c r="H270" s="17" t="s">
        <v>159</v>
      </c>
      <c r="I270" s="17">
        <v>28</v>
      </c>
      <c r="J270" s="20">
        <f t="shared" si="10"/>
        <v>6.7199999999999996E-2</v>
      </c>
      <c r="K270" s="20">
        <v>10</v>
      </c>
      <c r="L270" s="20">
        <v>1</v>
      </c>
      <c r="M270" s="189"/>
      <c r="N270" s="189"/>
      <c r="O270" s="44"/>
      <c r="P270" s="61"/>
      <c r="Q270" s="57"/>
    </row>
    <row r="271" spans="1:17" x14ac:dyDescent="0.2">
      <c r="A271" s="19" t="s">
        <v>734</v>
      </c>
      <c r="B271" s="19" t="s">
        <v>737</v>
      </c>
      <c r="C271" s="17" t="s">
        <v>28</v>
      </c>
      <c r="D271" s="17">
        <v>20</v>
      </c>
      <c r="E271" s="17">
        <v>60</v>
      </c>
      <c r="F271" s="17" t="s">
        <v>159</v>
      </c>
      <c r="G271" s="17">
        <v>40</v>
      </c>
      <c r="H271" s="17" t="s">
        <v>159</v>
      </c>
      <c r="I271" s="17">
        <v>32</v>
      </c>
      <c r="J271" s="20">
        <f t="shared" si="10"/>
        <v>7.6799999999999993E-2</v>
      </c>
      <c r="K271" s="20">
        <v>13</v>
      </c>
      <c r="L271" s="20">
        <v>0.6</v>
      </c>
      <c r="M271" s="17">
        <v>6201930000</v>
      </c>
      <c r="N271" s="17" t="s">
        <v>6</v>
      </c>
      <c r="P271" s="59">
        <v>0.12</v>
      </c>
      <c r="Q271" s="57">
        <v>0.03</v>
      </c>
    </row>
    <row r="272" spans="1:17" x14ac:dyDescent="0.2">
      <c r="A272" s="19" t="s">
        <v>733</v>
      </c>
      <c r="B272" s="19" t="s">
        <v>736</v>
      </c>
      <c r="C272" s="17" t="s">
        <v>23</v>
      </c>
      <c r="D272" s="17">
        <v>20</v>
      </c>
      <c r="E272" s="17">
        <v>55</v>
      </c>
      <c r="F272" s="17" t="s">
        <v>159</v>
      </c>
      <c r="G272" s="17">
        <v>38</v>
      </c>
      <c r="H272" s="17" t="s">
        <v>159</v>
      </c>
      <c r="I272" s="17">
        <v>32</v>
      </c>
      <c r="J272" s="20">
        <f t="shared" si="10"/>
        <v>6.6879999999999995E-2</v>
      </c>
      <c r="K272" s="20">
        <v>13</v>
      </c>
      <c r="L272" s="20">
        <v>0.6</v>
      </c>
      <c r="M272" s="17">
        <v>6202930000</v>
      </c>
      <c r="N272" s="17" t="s">
        <v>6</v>
      </c>
      <c r="P272" s="59">
        <v>0.12</v>
      </c>
      <c r="Q272" s="57">
        <v>0.03</v>
      </c>
    </row>
    <row r="273" spans="1:17" x14ac:dyDescent="0.2">
      <c r="A273" s="19" t="s">
        <v>740</v>
      </c>
      <c r="B273" s="19" t="s">
        <v>739</v>
      </c>
      <c r="C273" s="17" t="s">
        <v>28</v>
      </c>
      <c r="D273" s="17">
        <v>20</v>
      </c>
      <c r="E273" s="17">
        <v>60</v>
      </c>
      <c r="F273" s="17" t="s">
        <v>159</v>
      </c>
      <c r="G273" s="17">
        <v>40</v>
      </c>
      <c r="H273" s="17" t="s">
        <v>159</v>
      </c>
      <c r="I273" s="17">
        <v>26</v>
      </c>
      <c r="J273" s="20">
        <f t="shared" si="10"/>
        <v>6.2399999999999997E-2</v>
      </c>
      <c r="K273" s="20">
        <v>10</v>
      </c>
      <c r="L273" s="20">
        <v>0.45</v>
      </c>
      <c r="M273" s="17">
        <v>6211339000</v>
      </c>
      <c r="N273" s="17" t="s">
        <v>6</v>
      </c>
      <c r="P273" s="59">
        <v>0.12</v>
      </c>
      <c r="Q273" s="57">
        <v>0.03</v>
      </c>
    </row>
    <row r="274" spans="1:17" x14ac:dyDescent="0.2">
      <c r="A274" s="19" t="s">
        <v>735</v>
      </c>
      <c r="B274" s="19" t="s">
        <v>738</v>
      </c>
      <c r="C274" s="17" t="s">
        <v>23</v>
      </c>
      <c r="D274" s="17">
        <v>20</v>
      </c>
      <c r="E274" s="17">
        <v>53</v>
      </c>
      <c r="F274" s="17" t="s">
        <v>159</v>
      </c>
      <c r="G274" s="17">
        <v>36</v>
      </c>
      <c r="H274" s="17" t="s">
        <v>159</v>
      </c>
      <c r="I274" s="17">
        <v>23</v>
      </c>
      <c r="J274" s="20">
        <f t="shared" si="10"/>
        <v>4.3883999999999999E-2</v>
      </c>
      <c r="K274" s="20">
        <v>9</v>
      </c>
      <c r="L274" s="20">
        <v>0.4</v>
      </c>
      <c r="M274" s="17">
        <v>6211439000</v>
      </c>
      <c r="N274" s="17" t="s">
        <v>6</v>
      </c>
      <c r="P274" s="59">
        <v>0.12</v>
      </c>
      <c r="Q274" s="57">
        <v>0.03</v>
      </c>
    </row>
    <row r="275" spans="1:17" s="18" customFormat="1" x14ac:dyDescent="0.2">
      <c r="A275" s="197" t="s">
        <v>858</v>
      </c>
      <c r="B275" s="197" t="s">
        <v>859</v>
      </c>
      <c r="C275" s="17" t="s">
        <v>93</v>
      </c>
      <c r="D275" s="188">
        <v>20</v>
      </c>
      <c r="E275" s="17">
        <v>56</v>
      </c>
      <c r="F275" s="17" t="s">
        <v>159</v>
      </c>
      <c r="G275" s="17">
        <v>36</v>
      </c>
      <c r="H275" s="17" t="s">
        <v>159</v>
      </c>
      <c r="I275" s="17">
        <v>36</v>
      </c>
      <c r="J275" s="20">
        <f t="shared" si="10"/>
        <v>7.2576000000000002E-2</v>
      </c>
      <c r="K275" s="20">
        <v>7.625</v>
      </c>
      <c r="L275" s="20">
        <f>6.63/20</f>
        <v>0.33150000000000002</v>
      </c>
      <c r="M275" s="188">
        <v>6201930000</v>
      </c>
      <c r="N275" s="188" t="s">
        <v>6</v>
      </c>
      <c r="O275" s="44"/>
      <c r="P275" s="59">
        <v>0.12</v>
      </c>
      <c r="Q275" s="57">
        <v>0.03</v>
      </c>
    </row>
    <row r="276" spans="1:17" s="18" customFormat="1" x14ac:dyDescent="0.2">
      <c r="A276" s="198"/>
      <c r="B276" s="198"/>
      <c r="C276" s="17" t="s">
        <v>155</v>
      </c>
      <c r="D276" s="189"/>
      <c r="E276" s="17">
        <v>56</v>
      </c>
      <c r="F276" s="17" t="s">
        <v>159</v>
      </c>
      <c r="G276" s="17">
        <v>40</v>
      </c>
      <c r="H276" s="17" t="s">
        <v>159</v>
      </c>
      <c r="I276" s="17">
        <v>36</v>
      </c>
      <c r="J276" s="20">
        <f t="shared" si="10"/>
        <v>8.0640000000000003E-2</v>
      </c>
      <c r="K276" s="20">
        <v>9.3000000000000007</v>
      </c>
      <c r="L276" s="20">
        <f>8.3/20</f>
        <v>0.41500000000000004</v>
      </c>
      <c r="M276" s="189"/>
      <c r="N276" s="189"/>
      <c r="O276" s="44"/>
      <c r="P276" s="59"/>
      <c r="Q276" s="57"/>
    </row>
    <row r="277" spans="1:17" s="18" customFormat="1" x14ac:dyDescent="0.2">
      <c r="A277" s="19" t="s">
        <v>860</v>
      </c>
      <c r="B277" s="19" t="s">
        <v>861</v>
      </c>
      <c r="C277" s="17" t="s">
        <v>168</v>
      </c>
      <c r="D277" s="17">
        <v>20</v>
      </c>
      <c r="E277" s="17">
        <v>60</v>
      </c>
      <c r="F277" s="17" t="s">
        <v>159</v>
      </c>
      <c r="G277" s="17">
        <v>40</v>
      </c>
      <c r="H277" s="17" t="s">
        <v>159</v>
      </c>
      <c r="I277" s="17">
        <v>38</v>
      </c>
      <c r="J277" s="20">
        <f t="shared" si="10"/>
        <v>9.1200000000000003E-2</v>
      </c>
      <c r="K277" s="20">
        <v>10.65</v>
      </c>
      <c r="L277" s="20">
        <f>9.65/20</f>
        <v>0.48250000000000004</v>
      </c>
      <c r="M277" s="17">
        <v>6201930000</v>
      </c>
      <c r="N277" s="17" t="s">
        <v>6</v>
      </c>
      <c r="O277" s="44"/>
      <c r="P277" s="61"/>
      <c r="Q277" s="57"/>
    </row>
    <row r="278" spans="1:17" s="18" customFormat="1" x14ac:dyDescent="0.2">
      <c r="A278" s="197" t="s">
        <v>942</v>
      </c>
      <c r="B278" s="197" t="s">
        <v>943</v>
      </c>
      <c r="C278" s="17" t="s">
        <v>8</v>
      </c>
      <c r="D278" s="188">
        <v>10</v>
      </c>
      <c r="E278" s="17">
        <v>60</v>
      </c>
      <c r="F278" s="17" t="s">
        <v>159</v>
      </c>
      <c r="G278" s="17">
        <v>40</v>
      </c>
      <c r="H278" s="17" t="s">
        <v>159</v>
      </c>
      <c r="I278" s="17">
        <v>35</v>
      </c>
      <c r="J278" s="20">
        <f t="shared" si="10"/>
        <v>8.4000000000000005E-2</v>
      </c>
      <c r="K278" s="20">
        <v>6.8</v>
      </c>
      <c r="L278" s="20">
        <f>5.8/10</f>
        <v>0.57999999999999996</v>
      </c>
      <c r="M278" s="188">
        <v>6201930000</v>
      </c>
      <c r="N278" s="188" t="s">
        <v>6</v>
      </c>
      <c r="O278" s="44"/>
      <c r="P278" s="61"/>
      <c r="Q278" s="57"/>
    </row>
    <row r="279" spans="1:17" s="18" customFormat="1" x14ac:dyDescent="0.2">
      <c r="A279" s="198"/>
      <c r="B279" s="198"/>
      <c r="C279" s="17" t="s">
        <v>483</v>
      </c>
      <c r="D279" s="189"/>
      <c r="E279" s="17">
        <v>60</v>
      </c>
      <c r="F279" s="17" t="s">
        <v>159</v>
      </c>
      <c r="G279" s="17">
        <v>40</v>
      </c>
      <c r="H279" s="17" t="s">
        <v>159</v>
      </c>
      <c r="I279" s="17">
        <v>40</v>
      </c>
      <c r="J279" s="20">
        <f t="shared" si="10"/>
        <v>9.6000000000000002E-2</v>
      </c>
      <c r="K279" s="20">
        <v>8.3000000000000007</v>
      </c>
      <c r="L279" s="20">
        <f>7.3/10</f>
        <v>0.73</v>
      </c>
      <c r="M279" s="189"/>
      <c r="N279" s="189"/>
      <c r="O279" s="44"/>
      <c r="P279" s="61"/>
      <c r="Q279" s="57"/>
    </row>
    <row r="280" spans="1:17" s="18" customFormat="1" x14ac:dyDescent="0.2">
      <c r="A280" s="19" t="s">
        <v>862</v>
      </c>
      <c r="B280" s="19" t="s">
        <v>863</v>
      </c>
      <c r="C280" s="17" t="s">
        <v>921</v>
      </c>
      <c r="D280" s="47">
        <v>20</v>
      </c>
      <c r="E280" s="17">
        <v>35</v>
      </c>
      <c r="F280" s="17" t="s">
        <v>159</v>
      </c>
      <c r="G280" s="17">
        <v>26</v>
      </c>
      <c r="H280" s="17" t="s">
        <v>159</v>
      </c>
      <c r="I280" s="17">
        <v>35</v>
      </c>
      <c r="J280" s="20">
        <f t="shared" si="10"/>
        <v>3.1850000000000003E-2</v>
      </c>
      <c r="K280" s="20">
        <v>5</v>
      </c>
      <c r="L280" s="20">
        <v>0.25</v>
      </c>
      <c r="M280" s="17">
        <v>6201930000</v>
      </c>
      <c r="N280" s="17" t="s">
        <v>6</v>
      </c>
      <c r="O280" s="44"/>
      <c r="P280" s="61"/>
      <c r="Q280" s="57"/>
    </row>
    <row r="281" spans="1:17" s="18" customFormat="1" x14ac:dyDescent="0.2">
      <c r="A281" s="82" t="s">
        <v>864</v>
      </c>
      <c r="B281" s="82" t="s">
        <v>865</v>
      </c>
      <c r="C281" s="17" t="s">
        <v>922</v>
      </c>
      <c r="D281" s="47">
        <v>20</v>
      </c>
      <c r="E281" s="17">
        <v>45</v>
      </c>
      <c r="F281" s="17" t="s">
        <v>159</v>
      </c>
      <c r="G281" s="17">
        <v>35</v>
      </c>
      <c r="H281" s="17" t="s">
        <v>159</v>
      </c>
      <c r="I281" s="17">
        <v>35</v>
      </c>
      <c r="J281" s="20">
        <f t="shared" si="10"/>
        <v>5.5125E-2</v>
      </c>
      <c r="K281" s="20">
        <v>7</v>
      </c>
      <c r="L281" s="20">
        <v>0.35</v>
      </c>
      <c r="M281" s="81">
        <v>6201930000</v>
      </c>
      <c r="N281" s="81" t="s">
        <v>6</v>
      </c>
      <c r="O281" s="44"/>
      <c r="P281" s="61"/>
      <c r="Q281" s="57"/>
    </row>
    <row r="282" spans="1:17" s="18" customFormat="1" x14ac:dyDescent="0.2">
      <c r="A282" s="82" t="s">
        <v>927</v>
      </c>
      <c r="B282" s="82" t="s">
        <v>928</v>
      </c>
      <c r="C282" s="17" t="s">
        <v>20</v>
      </c>
      <c r="D282" s="47">
        <v>10</v>
      </c>
      <c r="E282" s="17">
        <v>60</v>
      </c>
      <c r="F282" s="17" t="s">
        <v>159</v>
      </c>
      <c r="G282" s="17">
        <v>40</v>
      </c>
      <c r="H282" s="17" t="s">
        <v>159</v>
      </c>
      <c r="I282" s="17">
        <v>23</v>
      </c>
      <c r="J282" s="20">
        <f t="shared" si="10"/>
        <v>5.5199999999999999E-2</v>
      </c>
      <c r="K282" s="20">
        <v>8</v>
      </c>
      <c r="L282" s="20">
        <v>0.8</v>
      </c>
      <c r="M282" s="81">
        <v>6201930000</v>
      </c>
      <c r="N282" s="81" t="s">
        <v>6</v>
      </c>
      <c r="O282" s="44"/>
      <c r="P282" s="61"/>
      <c r="Q282" s="57"/>
    </row>
    <row r="283" spans="1:17" s="18" customFormat="1" x14ac:dyDescent="0.2">
      <c r="A283" s="197" t="s">
        <v>929</v>
      </c>
      <c r="B283" s="197" t="s">
        <v>930</v>
      </c>
      <c r="C283" s="17" t="s">
        <v>23</v>
      </c>
      <c r="D283" s="47">
        <v>10</v>
      </c>
      <c r="E283" s="17">
        <v>60</v>
      </c>
      <c r="F283" s="17" t="s">
        <v>159</v>
      </c>
      <c r="G283" s="17">
        <v>40</v>
      </c>
      <c r="H283" s="17" t="s">
        <v>159</v>
      </c>
      <c r="I283" s="17">
        <v>40</v>
      </c>
      <c r="J283" s="20">
        <f t="shared" si="10"/>
        <v>9.6000000000000002E-2</v>
      </c>
      <c r="K283" s="20">
        <v>16.600000000000001</v>
      </c>
      <c r="L283" s="20">
        <v>1.66</v>
      </c>
      <c r="M283" s="188">
        <v>6210400000</v>
      </c>
      <c r="N283" s="188" t="s">
        <v>6</v>
      </c>
      <c r="O283" s="44"/>
      <c r="P283" s="61"/>
      <c r="Q283" s="57"/>
    </row>
    <row r="284" spans="1:17" s="18" customFormat="1" x14ac:dyDescent="0.2">
      <c r="A284" s="198"/>
      <c r="B284" s="198"/>
      <c r="C284" s="17" t="s">
        <v>931</v>
      </c>
      <c r="D284" s="47">
        <v>5</v>
      </c>
      <c r="E284" s="17">
        <v>60</v>
      </c>
      <c r="F284" s="17" t="s">
        <v>159</v>
      </c>
      <c r="G284" s="17">
        <v>40</v>
      </c>
      <c r="H284" s="17" t="s">
        <v>159</v>
      </c>
      <c r="I284" s="17">
        <v>20</v>
      </c>
      <c r="J284" s="20">
        <f t="shared" si="10"/>
        <v>4.8000000000000001E-2</v>
      </c>
      <c r="K284" s="20">
        <v>19.5</v>
      </c>
      <c r="L284" s="20">
        <v>3.9</v>
      </c>
      <c r="M284" s="189"/>
      <c r="N284" s="189"/>
      <c r="O284" s="44"/>
      <c r="P284" s="61"/>
      <c r="Q284" s="57"/>
    </row>
    <row r="285" spans="1:17" s="18" customFormat="1" x14ac:dyDescent="0.2">
      <c r="A285" s="19" t="s">
        <v>968</v>
      </c>
      <c r="B285" s="19" t="s">
        <v>1014</v>
      </c>
      <c r="C285" s="17" t="s">
        <v>20</v>
      </c>
      <c r="D285" s="17">
        <v>10</v>
      </c>
      <c r="E285" s="17">
        <v>60</v>
      </c>
      <c r="F285" s="17" t="s">
        <v>159</v>
      </c>
      <c r="G285" s="17">
        <v>40</v>
      </c>
      <c r="H285" s="17" t="s">
        <v>159</v>
      </c>
      <c r="I285" s="17">
        <v>24</v>
      </c>
      <c r="J285" s="20">
        <f t="shared" si="10"/>
        <v>5.7599999999999998E-2</v>
      </c>
      <c r="K285" s="20">
        <v>6.8</v>
      </c>
      <c r="L285" s="20">
        <f>5.8/10</f>
        <v>0.57999999999999996</v>
      </c>
      <c r="M285" s="17">
        <v>6201930000</v>
      </c>
      <c r="N285" s="17" t="s">
        <v>6</v>
      </c>
      <c r="O285" s="44"/>
      <c r="P285" s="61"/>
      <c r="Q285" s="57"/>
    </row>
    <row r="286" spans="1:17" s="18" customFormat="1" x14ac:dyDescent="0.2">
      <c r="A286" s="97" t="s">
        <v>969</v>
      </c>
      <c r="B286" s="97" t="s">
        <v>1013</v>
      </c>
      <c r="C286" s="125" t="s">
        <v>20</v>
      </c>
      <c r="D286" s="126">
        <v>10</v>
      </c>
      <c r="E286" s="125">
        <v>60</v>
      </c>
      <c r="F286" s="125" t="s">
        <v>159</v>
      </c>
      <c r="G286" s="125">
        <v>40</v>
      </c>
      <c r="H286" s="125" t="s">
        <v>159</v>
      </c>
      <c r="I286" s="125">
        <v>22</v>
      </c>
      <c r="J286" s="127">
        <f t="shared" si="10"/>
        <v>5.28E-2</v>
      </c>
      <c r="K286" s="127">
        <v>5.0999999999999996</v>
      </c>
      <c r="L286" s="127">
        <f>4.1/10</f>
        <v>0.41</v>
      </c>
      <c r="M286" s="142">
        <v>6211339000</v>
      </c>
      <c r="N286" s="142" t="s">
        <v>6</v>
      </c>
      <c r="O286" s="44"/>
      <c r="P286" s="61"/>
      <c r="Q286" s="57"/>
    </row>
    <row r="287" spans="1:17" s="18" customFormat="1" x14ac:dyDescent="0.2">
      <c r="A287" s="197" t="s">
        <v>1029</v>
      </c>
      <c r="B287" s="197" t="s">
        <v>1030</v>
      </c>
      <c r="C287" s="145" t="s">
        <v>8</v>
      </c>
      <c r="D287" s="188">
        <v>20</v>
      </c>
      <c r="E287" s="159">
        <v>60</v>
      </c>
      <c r="F287" s="157" t="s">
        <v>159</v>
      </c>
      <c r="G287" s="159">
        <v>40</v>
      </c>
      <c r="H287" s="157" t="s">
        <v>159</v>
      </c>
      <c r="I287" s="159">
        <v>34</v>
      </c>
      <c r="J287" s="158">
        <f t="shared" si="10"/>
        <v>8.1600000000000006E-2</v>
      </c>
      <c r="K287" s="191">
        <v>8.1999999999999993</v>
      </c>
      <c r="L287" s="191">
        <f>7.2/20</f>
        <v>0.36</v>
      </c>
      <c r="M287" s="188">
        <v>6211339000</v>
      </c>
      <c r="N287" s="188" t="s">
        <v>6</v>
      </c>
      <c r="O287" s="44"/>
      <c r="P287" s="61"/>
      <c r="Q287" s="57"/>
    </row>
    <row r="288" spans="1:17" s="18" customFormat="1" x14ac:dyDescent="0.2">
      <c r="A288" s="198"/>
      <c r="B288" s="198"/>
      <c r="C288" s="159" t="s">
        <v>164</v>
      </c>
      <c r="D288" s="189"/>
      <c r="E288" s="159">
        <v>60</v>
      </c>
      <c r="F288" s="157" t="s">
        <v>159</v>
      </c>
      <c r="G288" s="159">
        <v>40</v>
      </c>
      <c r="H288" s="157" t="s">
        <v>159</v>
      </c>
      <c r="I288" s="159">
        <v>39</v>
      </c>
      <c r="J288" s="158">
        <f t="shared" si="10"/>
        <v>9.3600000000000003E-2</v>
      </c>
      <c r="K288" s="192"/>
      <c r="L288" s="192"/>
      <c r="M288" s="189"/>
      <c r="N288" s="189"/>
      <c r="O288" s="44"/>
      <c r="P288" s="61"/>
      <c r="Q288" s="57"/>
    </row>
    <row r="289" spans="1:17" x14ac:dyDescent="0.2">
      <c r="A289" s="197" t="s">
        <v>452</v>
      </c>
      <c r="B289" s="197" t="s">
        <v>484</v>
      </c>
      <c r="C289" s="17" t="s">
        <v>23</v>
      </c>
      <c r="D289" s="17">
        <v>10</v>
      </c>
      <c r="E289" s="17">
        <v>60</v>
      </c>
      <c r="F289" s="17" t="s">
        <v>159</v>
      </c>
      <c r="G289" s="17">
        <v>40</v>
      </c>
      <c r="H289" s="17" t="s">
        <v>159</v>
      </c>
      <c r="I289" s="17">
        <v>47</v>
      </c>
      <c r="J289" s="20">
        <f t="shared" si="10"/>
        <v>0.1128</v>
      </c>
      <c r="K289" s="20">
        <v>18</v>
      </c>
      <c r="L289" s="20">
        <v>1.7</v>
      </c>
      <c r="M289" s="188">
        <v>6210400000</v>
      </c>
      <c r="N289" s="195" t="s">
        <v>6</v>
      </c>
      <c r="P289" s="59">
        <v>0.12</v>
      </c>
      <c r="Q289" s="57">
        <v>0.03</v>
      </c>
    </row>
    <row r="290" spans="1:17" x14ac:dyDescent="0.2">
      <c r="A290" s="198"/>
      <c r="B290" s="198"/>
      <c r="C290" s="17" t="s">
        <v>485</v>
      </c>
      <c r="D290" s="17">
        <v>5</v>
      </c>
      <c r="E290" s="17">
        <v>60</v>
      </c>
      <c r="F290" s="17" t="s">
        <v>159</v>
      </c>
      <c r="G290" s="17">
        <v>40</v>
      </c>
      <c r="H290" s="17" t="s">
        <v>159</v>
      </c>
      <c r="I290" s="17">
        <v>27</v>
      </c>
      <c r="J290" s="20">
        <f t="shared" si="10"/>
        <v>6.4799999999999996E-2</v>
      </c>
      <c r="K290" s="20">
        <v>10</v>
      </c>
      <c r="L290" s="20">
        <v>1.8</v>
      </c>
      <c r="M290" s="189"/>
      <c r="N290" s="195"/>
      <c r="P290" s="61"/>
      <c r="Q290" s="57"/>
    </row>
    <row r="291" spans="1:17" x14ac:dyDescent="0.2">
      <c r="A291" s="197" t="s">
        <v>453</v>
      </c>
      <c r="B291" s="197" t="s">
        <v>486</v>
      </c>
      <c r="C291" s="17" t="s">
        <v>23</v>
      </c>
      <c r="D291" s="17">
        <v>10</v>
      </c>
      <c r="E291" s="17">
        <v>60</v>
      </c>
      <c r="F291" s="17" t="s">
        <v>159</v>
      </c>
      <c r="G291" s="17">
        <v>40</v>
      </c>
      <c r="H291" s="17" t="s">
        <v>159</v>
      </c>
      <c r="I291" s="17">
        <v>48</v>
      </c>
      <c r="J291" s="20">
        <f t="shared" si="10"/>
        <v>0.1152</v>
      </c>
      <c r="K291" s="20">
        <v>23</v>
      </c>
      <c r="L291" s="20">
        <v>2.2000000000000002</v>
      </c>
      <c r="M291" s="188">
        <v>6210400000</v>
      </c>
      <c r="N291" s="188" t="s">
        <v>6</v>
      </c>
      <c r="P291" s="59">
        <v>0.12</v>
      </c>
      <c r="Q291" s="57">
        <v>0.03</v>
      </c>
    </row>
    <row r="292" spans="1:17" x14ac:dyDescent="0.2">
      <c r="A292" s="198"/>
      <c r="B292" s="198"/>
      <c r="C292" s="17" t="s">
        <v>485</v>
      </c>
      <c r="D292" s="17">
        <v>5</v>
      </c>
      <c r="E292" s="17">
        <v>60</v>
      </c>
      <c r="F292" s="17" t="s">
        <v>159</v>
      </c>
      <c r="G292" s="17">
        <v>40</v>
      </c>
      <c r="H292" s="17" t="s">
        <v>159</v>
      </c>
      <c r="I292" s="17">
        <v>28</v>
      </c>
      <c r="J292" s="20">
        <f t="shared" si="10"/>
        <v>6.7199999999999996E-2</v>
      </c>
      <c r="K292" s="20">
        <v>14</v>
      </c>
      <c r="L292" s="20">
        <v>2.6</v>
      </c>
      <c r="M292" s="189"/>
      <c r="N292" s="189"/>
      <c r="P292" s="61"/>
      <c r="Q292" s="57"/>
    </row>
    <row r="293" spans="1:17" x14ac:dyDescent="0.2">
      <c r="A293" s="213" t="s">
        <v>454</v>
      </c>
      <c r="B293" s="213" t="s">
        <v>487</v>
      </c>
      <c r="C293" s="17" t="s">
        <v>23</v>
      </c>
      <c r="D293" s="17">
        <v>10</v>
      </c>
      <c r="E293" s="17">
        <v>60</v>
      </c>
      <c r="F293" s="17" t="s">
        <v>159</v>
      </c>
      <c r="G293" s="17">
        <v>40</v>
      </c>
      <c r="H293" s="17" t="s">
        <v>159</v>
      </c>
      <c r="I293" s="17">
        <v>21</v>
      </c>
      <c r="J293" s="20">
        <f t="shared" si="10"/>
        <v>5.04E-2</v>
      </c>
      <c r="K293" s="20">
        <v>9.4</v>
      </c>
      <c r="L293" s="20">
        <v>0.84</v>
      </c>
      <c r="M293" s="195">
        <v>6201930000</v>
      </c>
      <c r="N293" s="195" t="s">
        <v>6</v>
      </c>
      <c r="P293" s="59">
        <v>0.12</v>
      </c>
      <c r="Q293" s="57">
        <v>0.03</v>
      </c>
    </row>
    <row r="294" spans="1:17" x14ac:dyDescent="0.2">
      <c r="A294" s="213"/>
      <c r="B294" s="213"/>
      <c r="C294" s="17" t="s">
        <v>485</v>
      </c>
      <c r="D294" s="17">
        <v>5</v>
      </c>
      <c r="E294" s="17">
        <v>60</v>
      </c>
      <c r="F294" s="17" t="s">
        <v>159</v>
      </c>
      <c r="G294" s="17">
        <v>40</v>
      </c>
      <c r="H294" s="17" t="s">
        <v>159</v>
      </c>
      <c r="I294" s="17">
        <v>12</v>
      </c>
      <c r="J294" s="20">
        <f t="shared" ref="J294:J325" si="11">+E294*G294*I294/1000000</f>
        <v>2.8799999999999999E-2</v>
      </c>
      <c r="K294" s="20">
        <v>6</v>
      </c>
      <c r="L294" s="20">
        <v>1</v>
      </c>
      <c r="M294" s="195"/>
      <c r="N294" s="195"/>
      <c r="P294" s="61"/>
      <c r="Q294" s="57"/>
    </row>
    <row r="295" spans="1:17" x14ac:dyDescent="0.2">
      <c r="A295" s="213" t="s">
        <v>488</v>
      </c>
      <c r="B295" s="213" t="s">
        <v>575</v>
      </c>
      <c r="C295" s="17" t="s">
        <v>23</v>
      </c>
      <c r="D295" s="17">
        <v>10</v>
      </c>
      <c r="E295" s="17">
        <v>40</v>
      </c>
      <c r="F295" s="17" t="s">
        <v>159</v>
      </c>
      <c r="G295" s="17">
        <v>34</v>
      </c>
      <c r="H295" s="17" t="s">
        <v>159</v>
      </c>
      <c r="I295" s="17">
        <v>21</v>
      </c>
      <c r="J295" s="20">
        <f t="shared" si="11"/>
        <v>2.8559999999999999E-2</v>
      </c>
      <c r="K295" s="20">
        <v>7.5</v>
      </c>
      <c r="L295" s="20">
        <v>0.7</v>
      </c>
      <c r="M295" s="195">
        <v>6203439000</v>
      </c>
      <c r="N295" s="195" t="s">
        <v>6</v>
      </c>
      <c r="P295" s="59">
        <v>0.12</v>
      </c>
      <c r="Q295" s="57">
        <v>0.03</v>
      </c>
    </row>
    <row r="296" spans="1:17" x14ac:dyDescent="0.2">
      <c r="A296" s="213"/>
      <c r="B296" s="213"/>
      <c r="C296" s="17" t="s">
        <v>489</v>
      </c>
      <c r="D296" s="17">
        <v>5</v>
      </c>
      <c r="E296" s="17">
        <v>40</v>
      </c>
      <c r="F296" s="17" t="s">
        <v>159</v>
      </c>
      <c r="G296" s="17">
        <v>34</v>
      </c>
      <c r="H296" s="17" t="s">
        <v>159</v>
      </c>
      <c r="I296" s="17">
        <v>13</v>
      </c>
      <c r="J296" s="20">
        <f t="shared" si="11"/>
        <v>1.7680000000000001E-2</v>
      </c>
      <c r="K296" s="20">
        <v>4</v>
      </c>
      <c r="L296" s="20">
        <v>0.7</v>
      </c>
      <c r="M296" s="195"/>
      <c r="N296" s="195"/>
      <c r="P296" s="61"/>
      <c r="Q296" s="57"/>
    </row>
    <row r="297" spans="1:17" x14ac:dyDescent="0.2">
      <c r="A297" s="213" t="s">
        <v>455</v>
      </c>
      <c r="B297" s="213" t="s">
        <v>490</v>
      </c>
      <c r="C297" s="17" t="s">
        <v>86</v>
      </c>
      <c r="D297" s="17">
        <v>10</v>
      </c>
      <c r="E297" s="17">
        <v>60</v>
      </c>
      <c r="F297" s="17" t="s">
        <v>159</v>
      </c>
      <c r="G297" s="17">
        <v>43</v>
      </c>
      <c r="H297" s="17" t="s">
        <v>159</v>
      </c>
      <c r="I297" s="17">
        <v>40</v>
      </c>
      <c r="J297" s="20">
        <f t="shared" si="11"/>
        <v>0.1032</v>
      </c>
      <c r="K297" s="20">
        <v>15.5</v>
      </c>
      <c r="L297" s="20">
        <v>1.5</v>
      </c>
      <c r="M297" s="195">
        <v>6210400000</v>
      </c>
      <c r="N297" s="195" t="s">
        <v>6</v>
      </c>
      <c r="P297" s="59">
        <v>0.12</v>
      </c>
      <c r="Q297" s="57">
        <v>0.03</v>
      </c>
    </row>
    <row r="298" spans="1:17" x14ac:dyDescent="0.2">
      <c r="A298" s="213"/>
      <c r="B298" s="213"/>
      <c r="C298" s="17" t="s">
        <v>483</v>
      </c>
      <c r="D298" s="17">
        <v>8</v>
      </c>
      <c r="E298" s="17">
        <v>60</v>
      </c>
      <c r="F298" s="17" t="s">
        <v>159</v>
      </c>
      <c r="G298" s="17">
        <v>42</v>
      </c>
      <c r="H298" s="17" t="s">
        <v>159</v>
      </c>
      <c r="I298" s="17">
        <v>40</v>
      </c>
      <c r="J298" s="20">
        <f t="shared" si="11"/>
        <v>0.1008</v>
      </c>
      <c r="K298" s="20">
        <v>13.5</v>
      </c>
      <c r="L298" s="20">
        <v>1.6</v>
      </c>
      <c r="M298" s="195"/>
      <c r="N298" s="195"/>
      <c r="P298" s="61"/>
      <c r="Q298" s="57"/>
    </row>
    <row r="299" spans="1:17" x14ac:dyDescent="0.2">
      <c r="A299" s="213" t="s">
        <v>456</v>
      </c>
      <c r="B299" s="213" t="s">
        <v>491</v>
      </c>
      <c r="C299" s="17" t="s">
        <v>86</v>
      </c>
      <c r="D299" s="17">
        <v>10</v>
      </c>
      <c r="E299" s="17">
        <v>60</v>
      </c>
      <c r="F299" s="17" t="s">
        <v>159</v>
      </c>
      <c r="G299" s="17">
        <v>38</v>
      </c>
      <c r="H299" s="17" t="s">
        <v>159</v>
      </c>
      <c r="I299" s="17">
        <v>40</v>
      </c>
      <c r="J299" s="20">
        <f t="shared" si="11"/>
        <v>9.1200000000000003E-2</v>
      </c>
      <c r="K299" s="20">
        <v>8.5</v>
      </c>
      <c r="L299" s="20">
        <v>0.8</v>
      </c>
      <c r="M299" s="195">
        <v>6201930000</v>
      </c>
      <c r="N299" s="195" t="s">
        <v>6</v>
      </c>
      <c r="P299" s="59">
        <v>0.12</v>
      </c>
      <c r="Q299" s="57">
        <v>0.03</v>
      </c>
    </row>
    <row r="300" spans="1:17" x14ac:dyDescent="0.2">
      <c r="A300" s="213"/>
      <c r="B300" s="213"/>
      <c r="C300" s="17" t="s">
        <v>483</v>
      </c>
      <c r="D300" s="17">
        <v>8</v>
      </c>
      <c r="E300" s="17">
        <v>60</v>
      </c>
      <c r="F300" s="17" t="s">
        <v>159</v>
      </c>
      <c r="G300" s="17">
        <v>36</v>
      </c>
      <c r="H300" s="17" t="s">
        <v>159</v>
      </c>
      <c r="I300" s="17">
        <v>40</v>
      </c>
      <c r="J300" s="20">
        <f t="shared" si="11"/>
        <v>8.6400000000000005E-2</v>
      </c>
      <c r="K300" s="20">
        <v>7.5</v>
      </c>
      <c r="L300" s="20">
        <v>0.85</v>
      </c>
      <c r="M300" s="195"/>
      <c r="N300" s="195"/>
      <c r="P300" s="61"/>
      <c r="Q300" s="57"/>
    </row>
    <row r="301" spans="1:17" x14ac:dyDescent="0.2">
      <c r="A301" s="213" t="s">
        <v>493</v>
      </c>
      <c r="B301" s="213" t="s">
        <v>494</v>
      </c>
      <c r="C301" s="17" t="s">
        <v>86</v>
      </c>
      <c r="D301" s="17">
        <v>10</v>
      </c>
      <c r="E301" s="17">
        <v>60</v>
      </c>
      <c r="F301" s="17" t="s">
        <v>159</v>
      </c>
      <c r="G301" s="17">
        <v>43</v>
      </c>
      <c r="H301" s="17" t="s">
        <v>159</v>
      </c>
      <c r="I301" s="17">
        <v>40</v>
      </c>
      <c r="J301" s="20">
        <f t="shared" si="11"/>
        <v>0.1032</v>
      </c>
      <c r="K301" s="20">
        <v>12.5</v>
      </c>
      <c r="L301" s="20">
        <v>1.2</v>
      </c>
      <c r="M301" s="188">
        <v>6210400000</v>
      </c>
      <c r="N301" s="195" t="s">
        <v>6</v>
      </c>
      <c r="P301" s="59">
        <v>0.12</v>
      </c>
      <c r="Q301" s="57">
        <v>0.03</v>
      </c>
    </row>
    <row r="302" spans="1:17" x14ac:dyDescent="0.2">
      <c r="A302" s="213"/>
      <c r="B302" s="213"/>
      <c r="C302" s="17" t="s">
        <v>483</v>
      </c>
      <c r="D302" s="17">
        <v>8</v>
      </c>
      <c r="E302" s="17">
        <v>60</v>
      </c>
      <c r="F302" s="17" t="s">
        <v>159</v>
      </c>
      <c r="G302" s="17">
        <v>42</v>
      </c>
      <c r="H302" s="17" t="s">
        <v>159</v>
      </c>
      <c r="I302" s="17">
        <v>40</v>
      </c>
      <c r="J302" s="20">
        <f t="shared" si="11"/>
        <v>0.1008</v>
      </c>
      <c r="K302" s="20">
        <v>11</v>
      </c>
      <c r="L302" s="20">
        <v>1.3</v>
      </c>
      <c r="M302" s="189"/>
      <c r="N302" s="195"/>
      <c r="P302" s="61"/>
      <c r="Q302" s="57"/>
    </row>
    <row r="303" spans="1:17" x14ac:dyDescent="0.2">
      <c r="A303" s="19" t="s">
        <v>492</v>
      </c>
      <c r="B303" s="19" t="s">
        <v>511</v>
      </c>
      <c r="C303" s="17" t="s">
        <v>8</v>
      </c>
      <c r="D303" s="17">
        <v>10</v>
      </c>
      <c r="E303" s="17">
        <v>60</v>
      </c>
      <c r="F303" s="17" t="s">
        <v>159</v>
      </c>
      <c r="G303" s="17">
        <v>42</v>
      </c>
      <c r="H303" s="17" t="s">
        <v>159</v>
      </c>
      <c r="I303" s="17">
        <v>40</v>
      </c>
      <c r="J303" s="20">
        <f t="shared" si="11"/>
        <v>0.1008</v>
      </c>
      <c r="K303" s="20">
        <v>10</v>
      </c>
      <c r="L303" s="20">
        <v>0.95</v>
      </c>
      <c r="M303" s="17">
        <v>6210500000</v>
      </c>
      <c r="N303" s="17" t="s">
        <v>6</v>
      </c>
      <c r="P303" s="59">
        <v>0.12</v>
      </c>
      <c r="Q303" s="57">
        <v>0.03</v>
      </c>
    </row>
    <row r="304" spans="1:17" x14ac:dyDescent="0.2">
      <c r="A304" s="197" t="s">
        <v>495</v>
      </c>
      <c r="B304" s="197" t="s">
        <v>496</v>
      </c>
      <c r="C304" s="17" t="s">
        <v>169</v>
      </c>
      <c r="D304" s="188">
        <v>20</v>
      </c>
      <c r="E304" s="17">
        <v>58</v>
      </c>
      <c r="F304" s="17" t="s">
        <v>159</v>
      </c>
      <c r="G304" s="17">
        <v>38</v>
      </c>
      <c r="H304" s="17" t="s">
        <v>159</v>
      </c>
      <c r="I304" s="17">
        <v>23</v>
      </c>
      <c r="J304" s="20">
        <f t="shared" si="11"/>
        <v>5.0692000000000001E-2</v>
      </c>
      <c r="K304" s="191">
        <v>14</v>
      </c>
      <c r="L304" s="191">
        <v>0.65</v>
      </c>
      <c r="M304" s="188">
        <v>6203439000</v>
      </c>
      <c r="N304" s="188" t="s">
        <v>6</v>
      </c>
      <c r="P304" s="59">
        <v>0.12</v>
      </c>
      <c r="Q304" s="57">
        <v>0.03</v>
      </c>
    </row>
    <row r="305" spans="1:17" x14ac:dyDescent="0.2">
      <c r="A305" s="198"/>
      <c r="B305" s="198"/>
      <c r="C305" s="17" t="s">
        <v>831</v>
      </c>
      <c r="D305" s="189"/>
      <c r="E305" s="17">
        <v>60</v>
      </c>
      <c r="F305" s="17" t="s">
        <v>159</v>
      </c>
      <c r="G305" s="17">
        <v>40</v>
      </c>
      <c r="H305" s="17" t="s">
        <v>159</v>
      </c>
      <c r="I305" s="17">
        <v>23</v>
      </c>
      <c r="J305" s="20">
        <f t="shared" si="11"/>
        <v>5.5199999999999999E-2</v>
      </c>
      <c r="K305" s="192"/>
      <c r="L305" s="192"/>
      <c r="M305" s="189"/>
      <c r="N305" s="189"/>
      <c r="P305" s="61"/>
      <c r="Q305" s="57"/>
    </row>
    <row r="306" spans="1:17" x14ac:dyDescent="0.2">
      <c r="A306" s="129" t="s">
        <v>983</v>
      </c>
      <c r="B306" s="129" t="s">
        <v>984</v>
      </c>
      <c r="C306" s="132" t="s">
        <v>23</v>
      </c>
      <c r="D306" s="130">
        <v>10</v>
      </c>
      <c r="E306" s="132">
        <v>60</v>
      </c>
      <c r="F306" s="132" t="s">
        <v>159</v>
      </c>
      <c r="G306" s="132">
        <v>40</v>
      </c>
      <c r="H306" s="132" t="s">
        <v>159</v>
      </c>
      <c r="I306" s="132">
        <v>15</v>
      </c>
      <c r="J306" s="135">
        <f t="shared" si="11"/>
        <v>3.5999999999999997E-2</v>
      </c>
      <c r="K306" s="133">
        <v>10.26</v>
      </c>
      <c r="L306" s="133">
        <f>8.4/10</f>
        <v>0.84000000000000008</v>
      </c>
      <c r="M306" s="130">
        <v>6204699090</v>
      </c>
      <c r="N306" s="130" t="s">
        <v>108</v>
      </c>
      <c r="P306" s="61"/>
      <c r="Q306" s="57"/>
    </row>
    <row r="307" spans="1:17" x14ac:dyDescent="0.2">
      <c r="A307" s="197" t="s">
        <v>497</v>
      </c>
      <c r="B307" s="197" t="s">
        <v>498</v>
      </c>
      <c r="C307" s="17" t="s">
        <v>169</v>
      </c>
      <c r="D307" s="188">
        <v>20</v>
      </c>
      <c r="E307" s="17">
        <v>58</v>
      </c>
      <c r="F307" s="17" t="s">
        <v>159</v>
      </c>
      <c r="G307" s="17">
        <v>38</v>
      </c>
      <c r="H307" s="17" t="s">
        <v>159</v>
      </c>
      <c r="I307" s="17">
        <v>16</v>
      </c>
      <c r="J307" s="20">
        <f t="shared" si="11"/>
        <v>3.5263999999999997E-2</v>
      </c>
      <c r="K307" s="191">
        <v>10</v>
      </c>
      <c r="L307" s="191">
        <v>0.45</v>
      </c>
      <c r="M307" s="188">
        <v>6203439000</v>
      </c>
      <c r="N307" s="188" t="s">
        <v>6</v>
      </c>
      <c r="P307" s="59">
        <v>0.12</v>
      </c>
      <c r="Q307" s="57">
        <v>0.03</v>
      </c>
    </row>
    <row r="308" spans="1:17" x14ac:dyDescent="0.2">
      <c r="A308" s="198"/>
      <c r="B308" s="198"/>
      <c r="C308" s="17" t="s">
        <v>173</v>
      </c>
      <c r="D308" s="189"/>
      <c r="E308" s="17">
        <v>58</v>
      </c>
      <c r="F308" s="17" t="s">
        <v>159</v>
      </c>
      <c r="G308" s="17">
        <v>38</v>
      </c>
      <c r="H308" s="17" t="s">
        <v>159</v>
      </c>
      <c r="I308" s="17">
        <v>16</v>
      </c>
      <c r="J308" s="20">
        <f t="shared" si="11"/>
        <v>3.5263999999999997E-2</v>
      </c>
      <c r="K308" s="192"/>
      <c r="L308" s="192"/>
      <c r="M308" s="189"/>
      <c r="N308" s="189"/>
      <c r="P308" s="61"/>
      <c r="Q308" s="57"/>
    </row>
    <row r="309" spans="1:17" x14ac:dyDescent="0.2">
      <c r="A309" s="19" t="s">
        <v>499</v>
      </c>
      <c r="B309" s="19" t="s">
        <v>500</v>
      </c>
      <c r="C309" s="17" t="s">
        <v>572</v>
      </c>
      <c r="D309" s="17">
        <v>10</v>
      </c>
      <c r="E309" s="17">
        <v>40</v>
      </c>
      <c r="F309" s="17" t="s">
        <v>159</v>
      </c>
      <c r="G309" s="17">
        <v>34</v>
      </c>
      <c r="H309" s="17" t="s">
        <v>159</v>
      </c>
      <c r="I309" s="17">
        <v>21</v>
      </c>
      <c r="J309" s="20">
        <f t="shared" si="11"/>
        <v>2.8559999999999999E-2</v>
      </c>
      <c r="K309" s="20">
        <v>9</v>
      </c>
      <c r="L309" s="20">
        <v>0.8</v>
      </c>
      <c r="M309" s="17">
        <v>6203439000</v>
      </c>
      <c r="N309" s="17" t="s">
        <v>6</v>
      </c>
      <c r="P309" s="59">
        <v>0.12</v>
      </c>
      <c r="Q309" s="57">
        <v>0.03</v>
      </c>
    </row>
    <row r="310" spans="1:17" x14ac:dyDescent="0.2">
      <c r="A310" s="19" t="s">
        <v>501</v>
      </c>
      <c r="B310" s="19" t="s">
        <v>502</v>
      </c>
      <c r="C310" s="17" t="s">
        <v>20</v>
      </c>
      <c r="D310" s="17">
        <v>10</v>
      </c>
      <c r="E310" s="17">
        <v>40</v>
      </c>
      <c r="F310" s="17" t="s">
        <v>159</v>
      </c>
      <c r="G310" s="17">
        <v>34</v>
      </c>
      <c r="H310" s="17" t="s">
        <v>159</v>
      </c>
      <c r="I310" s="17">
        <v>16</v>
      </c>
      <c r="J310" s="20">
        <f t="shared" si="11"/>
        <v>2.1760000000000002E-2</v>
      </c>
      <c r="K310" s="20">
        <v>6.5</v>
      </c>
      <c r="L310" s="20">
        <f>5.5/10</f>
        <v>0.55000000000000004</v>
      </c>
      <c r="M310" s="92">
        <v>6203439000</v>
      </c>
      <c r="N310" s="17" t="s">
        <v>6</v>
      </c>
      <c r="P310" s="59">
        <v>0.12</v>
      </c>
      <c r="Q310" s="57">
        <v>0.03</v>
      </c>
    </row>
    <row r="311" spans="1:17" x14ac:dyDescent="0.2">
      <c r="A311" s="197" t="s">
        <v>866</v>
      </c>
      <c r="B311" s="197" t="s">
        <v>867</v>
      </c>
      <c r="C311" s="17" t="s">
        <v>524</v>
      </c>
      <c r="D311" s="17">
        <v>25</v>
      </c>
      <c r="E311" s="17">
        <v>60</v>
      </c>
      <c r="F311" s="17" t="s">
        <v>159</v>
      </c>
      <c r="G311" s="17">
        <v>40</v>
      </c>
      <c r="H311" s="17" t="s">
        <v>159</v>
      </c>
      <c r="I311" s="17">
        <v>17</v>
      </c>
      <c r="J311" s="20">
        <f t="shared" si="11"/>
        <v>4.0800000000000003E-2</v>
      </c>
      <c r="K311" s="20">
        <v>10.26</v>
      </c>
      <c r="L311" s="20">
        <f>5.5/10</f>
        <v>0.55000000000000004</v>
      </c>
      <c r="M311" s="188">
        <v>6105201000</v>
      </c>
      <c r="N311" s="188" t="s">
        <v>6</v>
      </c>
      <c r="P311" s="59"/>
      <c r="Q311" s="57"/>
    </row>
    <row r="312" spans="1:17" x14ac:dyDescent="0.2">
      <c r="A312" s="204"/>
      <c r="B312" s="204"/>
      <c r="C312" s="17" t="s">
        <v>86</v>
      </c>
      <c r="D312" s="17">
        <v>50</v>
      </c>
      <c r="E312" s="17">
        <v>60</v>
      </c>
      <c r="F312" s="17" t="s">
        <v>159</v>
      </c>
      <c r="G312" s="17">
        <v>40</v>
      </c>
      <c r="H312" s="17" t="s">
        <v>159</v>
      </c>
      <c r="I312" s="17">
        <v>30</v>
      </c>
      <c r="J312" s="20">
        <f t="shared" si="11"/>
        <v>7.1999999999999995E-2</v>
      </c>
      <c r="K312" s="20">
        <v>10.26</v>
      </c>
      <c r="L312" s="20">
        <f>5.5/10</f>
        <v>0.55000000000000004</v>
      </c>
      <c r="M312" s="194"/>
      <c r="N312" s="194"/>
      <c r="P312" s="59"/>
      <c r="Q312" s="57"/>
    </row>
    <row r="313" spans="1:17" x14ac:dyDescent="0.2">
      <c r="A313" s="204"/>
      <c r="B313" s="204"/>
      <c r="C313" s="17" t="s">
        <v>160</v>
      </c>
      <c r="D313" s="17">
        <v>50</v>
      </c>
      <c r="E313" s="17">
        <v>60</v>
      </c>
      <c r="F313" s="17" t="s">
        <v>159</v>
      </c>
      <c r="G313" s="17">
        <v>40</v>
      </c>
      <c r="H313" s="17" t="s">
        <v>159</v>
      </c>
      <c r="I313" s="17">
        <v>33</v>
      </c>
      <c r="J313" s="20">
        <f t="shared" si="11"/>
        <v>7.9200000000000007E-2</v>
      </c>
      <c r="K313" s="20">
        <v>10.26</v>
      </c>
      <c r="L313" s="20">
        <f>5.5/10</f>
        <v>0.55000000000000004</v>
      </c>
      <c r="M313" s="194"/>
      <c r="N313" s="194"/>
      <c r="P313" s="59"/>
      <c r="Q313" s="57"/>
    </row>
    <row r="314" spans="1:17" x14ac:dyDescent="0.2">
      <c r="A314" s="198"/>
      <c r="B314" s="198"/>
      <c r="C314" s="17" t="s">
        <v>489</v>
      </c>
      <c r="D314" s="17">
        <v>25</v>
      </c>
      <c r="E314" s="17">
        <v>60</v>
      </c>
      <c r="F314" s="17" t="s">
        <v>159</v>
      </c>
      <c r="G314" s="17">
        <v>40</v>
      </c>
      <c r="H314" s="17" t="s">
        <v>159</v>
      </c>
      <c r="I314" s="17">
        <v>20</v>
      </c>
      <c r="J314" s="20">
        <f t="shared" si="11"/>
        <v>4.8000000000000001E-2</v>
      </c>
      <c r="K314" s="20">
        <v>10.26</v>
      </c>
      <c r="L314" s="20">
        <f>5.5/10</f>
        <v>0.55000000000000004</v>
      </c>
      <c r="M314" s="189"/>
      <c r="N314" s="189"/>
      <c r="P314" s="59"/>
      <c r="Q314" s="57"/>
    </row>
    <row r="315" spans="1:17" x14ac:dyDescent="0.2">
      <c r="A315" s="48" t="s">
        <v>944</v>
      </c>
      <c r="B315" s="48" t="s">
        <v>945</v>
      </c>
      <c r="C315" s="17" t="s">
        <v>28</v>
      </c>
      <c r="D315" s="17">
        <v>20</v>
      </c>
      <c r="E315" s="17">
        <v>59</v>
      </c>
      <c r="F315" s="17" t="s">
        <v>159</v>
      </c>
      <c r="G315" s="17">
        <v>39</v>
      </c>
      <c r="H315" s="17" t="s">
        <v>159</v>
      </c>
      <c r="I315" s="17">
        <v>48</v>
      </c>
      <c r="J315" s="20">
        <f t="shared" si="11"/>
        <v>0.110448</v>
      </c>
      <c r="K315" s="20">
        <v>16</v>
      </c>
      <c r="L315" s="20">
        <v>0.75</v>
      </c>
      <c r="M315" s="47">
        <v>6201930000</v>
      </c>
      <c r="N315" s="47" t="s">
        <v>6</v>
      </c>
      <c r="P315" s="59"/>
      <c r="Q315" s="57"/>
    </row>
    <row r="316" spans="1:17" x14ac:dyDescent="0.2">
      <c r="A316" s="19" t="s">
        <v>503</v>
      </c>
      <c r="B316" s="19" t="s">
        <v>705</v>
      </c>
      <c r="C316" s="17" t="s">
        <v>29</v>
      </c>
      <c r="D316" s="17">
        <v>10</v>
      </c>
      <c r="E316" s="17">
        <v>55</v>
      </c>
      <c r="F316" s="17" t="s">
        <v>159</v>
      </c>
      <c r="G316" s="17">
        <v>38</v>
      </c>
      <c r="H316" s="17" t="s">
        <v>159</v>
      </c>
      <c r="I316" s="17">
        <v>38</v>
      </c>
      <c r="J316" s="20">
        <f t="shared" si="11"/>
        <v>7.9420000000000004E-2</v>
      </c>
      <c r="K316" s="20">
        <v>11</v>
      </c>
      <c r="L316" s="20">
        <v>1</v>
      </c>
      <c r="M316" s="17">
        <v>6201930000</v>
      </c>
      <c r="N316" s="17" t="s">
        <v>6</v>
      </c>
      <c r="P316" s="59">
        <v>0.12</v>
      </c>
      <c r="Q316" s="57">
        <v>0.03</v>
      </c>
    </row>
    <row r="317" spans="1:17" x14ac:dyDescent="0.2">
      <c r="A317" s="197" t="s">
        <v>741</v>
      </c>
      <c r="B317" s="197" t="s">
        <v>742</v>
      </c>
      <c r="C317" s="17" t="s">
        <v>169</v>
      </c>
      <c r="D317" s="188">
        <v>10</v>
      </c>
      <c r="E317" s="17">
        <v>36</v>
      </c>
      <c r="F317" s="17" t="s">
        <v>159</v>
      </c>
      <c r="G317" s="17">
        <v>32</v>
      </c>
      <c r="H317" s="17" t="s">
        <v>159</v>
      </c>
      <c r="I317" s="17">
        <v>20</v>
      </c>
      <c r="J317" s="20">
        <f t="shared" si="11"/>
        <v>2.3040000000000001E-2</v>
      </c>
      <c r="K317" s="191">
        <v>7</v>
      </c>
      <c r="L317" s="191">
        <v>0.6</v>
      </c>
      <c r="M317" s="188">
        <v>6201930000</v>
      </c>
      <c r="N317" s="188" t="s">
        <v>6</v>
      </c>
      <c r="P317" s="59">
        <v>0.12</v>
      </c>
      <c r="Q317" s="57">
        <v>0.03</v>
      </c>
    </row>
    <row r="318" spans="1:17" x14ac:dyDescent="0.2">
      <c r="A318" s="198"/>
      <c r="B318" s="198"/>
      <c r="C318" s="17" t="s">
        <v>173</v>
      </c>
      <c r="D318" s="189"/>
      <c r="E318" s="17">
        <v>38</v>
      </c>
      <c r="F318" s="17" t="s">
        <v>159</v>
      </c>
      <c r="G318" s="17">
        <v>34</v>
      </c>
      <c r="H318" s="17" t="s">
        <v>159</v>
      </c>
      <c r="I318" s="17">
        <v>20</v>
      </c>
      <c r="J318" s="20">
        <f t="shared" si="11"/>
        <v>2.5839999999999998E-2</v>
      </c>
      <c r="K318" s="192"/>
      <c r="L318" s="192"/>
      <c r="M318" s="189"/>
      <c r="N318" s="189"/>
      <c r="P318" s="59"/>
      <c r="Q318" s="57"/>
    </row>
    <row r="319" spans="1:17" x14ac:dyDescent="0.2">
      <c r="A319" s="197" t="s">
        <v>743</v>
      </c>
      <c r="B319" s="197" t="s">
        <v>749</v>
      </c>
      <c r="C319" s="17" t="s">
        <v>169</v>
      </c>
      <c r="D319" s="188">
        <v>10</v>
      </c>
      <c r="E319" s="17">
        <v>38</v>
      </c>
      <c r="F319" s="17" t="s">
        <v>159</v>
      </c>
      <c r="G319" s="17">
        <v>34</v>
      </c>
      <c r="H319" s="17" t="s">
        <v>159</v>
      </c>
      <c r="I319" s="17">
        <v>16</v>
      </c>
      <c r="J319" s="20">
        <f t="shared" si="11"/>
        <v>2.0671999999999999E-2</v>
      </c>
      <c r="K319" s="191">
        <v>5</v>
      </c>
      <c r="L319" s="191">
        <v>0.4</v>
      </c>
      <c r="M319" s="188">
        <v>6211339000</v>
      </c>
      <c r="N319" s="188" t="s">
        <v>6</v>
      </c>
      <c r="P319" s="59">
        <v>0.12</v>
      </c>
      <c r="Q319" s="57">
        <v>0.03</v>
      </c>
    </row>
    <row r="320" spans="1:17" x14ac:dyDescent="0.2">
      <c r="A320" s="198"/>
      <c r="B320" s="198"/>
      <c r="C320" s="17" t="s">
        <v>173</v>
      </c>
      <c r="D320" s="189"/>
      <c r="E320" s="17">
        <v>42</v>
      </c>
      <c r="F320" s="17" t="s">
        <v>159</v>
      </c>
      <c r="G320" s="17">
        <v>37</v>
      </c>
      <c r="H320" s="17" t="s">
        <v>159</v>
      </c>
      <c r="I320" s="17">
        <v>16</v>
      </c>
      <c r="J320" s="20">
        <f t="shared" si="11"/>
        <v>2.4864000000000001E-2</v>
      </c>
      <c r="K320" s="192"/>
      <c r="L320" s="192"/>
      <c r="M320" s="189"/>
      <c r="N320" s="189"/>
      <c r="P320" s="59"/>
      <c r="Q320" s="57"/>
    </row>
    <row r="321" spans="1:17" x14ac:dyDescent="0.2">
      <c r="A321" s="197" t="s">
        <v>744</v>
      </c>
      <c r="B321" s="197" t="s">
        <v>750</v>
      </c>
      <c r="C321" s="17" t="s">
        <v>169</v>
      </c>
      <c r="D321" s="188">
        <v>20</v>
      </c>
      <c r="E321" s="17">
        <v>39</v>
      </c>
      <c r="F321" s="17" t="s">
        <v>159</v>
      </c>
      <c r="G321" s="17">
        <v>33</v>
      </c>
      <c r="H321" s="17" t="s">
        <v>159</v>
      </c>
      <c r="I321" s="17">
        <v>27</v>
      </c>
      <c r="J321" s="20">
        <f t="shared" si="11"/>
        <v>3.4749000000000002E-2</v>
      </c>
      <c r="K321" s="191">
        <v>10</v>
      </c>
      <c r="L321" s="191">
        <v>0.45</v>
      </c>
      <c r="M321" s="188">
        <v>6203439000</v>
      </c>
      <c r="N321" s="188" t="s">
        <v>6</v>
      </c>
      <c r="P321" s="59">
        <v>0.12</v>
      </c>
      <c r="Q321" s="57">
        <v>0.03</v>
      </c>
    </row>
    <row r="322" spans="1:17" x14ac:dyDescent="0.2">
      <c r="A322" s="198"/>
      <c r="B322" s="198"/>
      <c r="C322" s="17" t="s">
        <v>831</v>
      </c>
      <c r="D322" s="189"/>
      <c r="E322" s="17">
        <v>42</v>
      </c>
      <c r="F322" s="17" t="s">
        <v>159</v>
      </c>
      <c r="G322" s="17">
        <v>35</v>
      </c>
      <c r="H322" s="17" t="s">
        <v>159</v>
      </c>
      <c r="I322" s="17">
        <v>27</v>
      </c>
      <c r="J322" s="20">
        <f t="shared" si="11"/>
        <v>3.9690000000000003E-2</v>
      </c>
      <c r="K322" s="192"/>
      <c r="L322" s="192"/>
      <c r="M322" s="189"/>
      <c r="N322" s="189"/>
      <c r="P322" s="59"/>
      <c r="Q322" s="57"/>
    </row>
    <row r="323" spans="1:17" x14ac:dyDescent="0.2">
      <c r="A323" s="197" t="s">
        <v>745</v>
      </c>
      <c r="B323" s="197" t="s">
        <v>751</v>
      </c>
      <c r="C323" s="17" t="s">
        <v>169</v>
      </c>
      <c r="D323" s="188">
        <v>20</v>
      </c>
      <c r="E323" s="17">
        <v>39</v>
      </c>
      <c r="F323" s="17" t="s">
        <v>159</v>
      </c>
      <c r="G323" s="17">
        <v>33</v>
      </c>
      <c r="H323" s="17" t="s">
        <v>159</v>
      </c>
      <c r="I323" s="17">
        <v>18</v>
      </c>
      <c r="J323" s="20">
        <f t="shared" si="11"/>
        <v>2.3165999999999999E-2</v>
      </c>
      <c r="K323" s="191">
        <v>7</v>
      </c>
      <c r="L323" s="191">
        <v>0.3</v>
      </c>
      <c r="M323" s="188">
        <v>6203439000</v>
      </c>
      <c r="N323" s="188" t="s">
        <v>6</v>
      </c>
      <c r="P323" s="59">
        <v>0.12</v>
      </c>
      <c r="Q323" s="57">
        <v>0.03</v>
      </c>
    </row>
    <row r="324" spans="1:17" x14ac:dyDescent="0.2">
      <c r="A324" s="198"/>
      <c r="B324" s="198"/>
      <c r="C324" s="17" t="s">
        <v>831</v>
      </c>
      <c r="D324" s="189"/>
      <c r="E324" s="17">
        <v>42</v>
      </c>
      <c r="F324" s="17" t="s">
        <v>159</v>
      </c>
      <c r="G324" s="17">
        <v>35</v>
      </c>
      <c r="H324" s="17" t="s">
        <v>159</v>
      </c>
      <c r="I324" s="17">
        <v>18</v>
      </c>
      <c r="J324" s="20">
        <f t="shared" si="11"/>
        <v>2.6460000000000001E-2</v>
      </c>
      <c r="K324" s="192"/>
      <c r="L324" s="192"/>
      <c r="M324" s="189"/>
      <c r="N324" s="189"/>
      <c r="P324" s="59"/>
      <c r="Q324" s="57"/>
    </row>
    <row r="325" spans="1:17" x14ac:dyDescent="0.2">
      <c r="A325" s="197" t="s">
        <v>746</v>
      </c>
      <c r="B325" s="197" t="s">
        <v>752</v>
      </c>
      <c r="C325" s="17" t="s">
        <v>169</v>
      </c>
      <c r="D325" s="188">
        <v>10</v>
      </c>
      <c r="E325" s="17">
        <v>41</v>
      </c>
      <c r="F325" s="17" t="s">
        <v>159</v>
      </c>
      <c r="G325" s="17">
        <v>31</v>
      </c>
      <c r="H325" s="17" t="s">
        <v>159</v>
      </c>
      <c r="I325" s="17">
        <v>35</v>
      </c>
      <c r="J325" s="20">
        <f t="shared" si="11"/>
        <v>4.4484999999999997E-2</v>
      </c>
      <c r="K325" s="191">
        <v>8</v>
      </c>
      <c r="L325" s="191">
        <v>0.7</v>
      </c>
      <c r="M325" s="188">
        <v>6211339000</v>
      </c>
      <c r="N325" s="188" t="s">
        <v>6</v>
      </c>
      <c r="P325" s="59">
        <v>0.12</v>
      </c>
      <c r="Q325" s="57">
        <v>0.03</v>
      </c>
    </row>
    <row r="326" spans="1:17" x14ac:dyDescent="0.2">
      <c r="A326" s="198"/>
      <c r="B326" s="198"/>
      <c r="C326" s="17" t="s">
        <v>831</v>
      </c>
      <c r="D326" s="189"/>
      <c r="E326" s="17">
        <v>43</v>
      </c>
      <c r="F326" s="17" t="s">
        <v>159</v>
      </c>
      <c r="G326" s="17">
        <v>33</v>
      </c>
      <c r="H326" s="17" t="s">
        <v>159</v>
      </c>
      <c r="I326" s="17">
        <v>35</v>
      </c>
      <c r="J326" s="20">
        <f t="shared" ref="J326:J357" si="12">+E326*G326*I326/1000000</f>
        <v>4.9665000000000001E-2</v>
      </c>
      <c r="K326" s="192"/>
      <c r="L326" s="192"/>
      <c r="M326" s="189"/>
      <c r="N326" s="189"/>
      <c r="P326" s="59"/>
      <c r="Q326" s="57"/>
    </row>
    <row r="327" spans="1:17" x14ac:dyDescent="0.2">
      <c r="A327" s="19" t="s">
        <v>747</v>
      </c>
      <c r="B327" s="19" t="s">
        <v>753</v>
      </c>
      <c r="C327" s="17" t="s">
        <v>9</v>
      </c>
      <c r="D327" s="17" t="s">
        <v>754</v>
      </c>
      <c r="E327" s="17">
        <v>53</v>
      </c>
      <c r="F327" s="17" t="s">
        <v>159</v>
      </c>
      <c r="G327" s="17">
        <v>40</v>
      </c>
      <c r="H327" s="17" t="s">
        <v>159</v>
      </c>
      <c r="I327" s="17">
        <v>52</v>
      </c>
      <c r="J327" s="20">
        <f t="shared" si="12"/>
        <v>0.11024</v>
      </c>
      <c r="K327" s="20">
        <v>5</v>
      </c>
      <c r="L327" s="20">
        <v>0.08</v>
      </c>
      <c r="M327" s="17">
        <v>9506919000</v>
      </c>
      <c r="N327" s="17" t="s">
        <v>6</v>
      </c>
      <c r="P327" s="59">
        <v>0.12</v>
      </c>
      <c r="Q327" s="57">
        <v>0.03</v>
      </c>
    </row>
    <row r="328" spans="1:17" x14ac:dyDescent="0.2">
      <c r="A328" s="197" t="s">
        <v>748</v>
      </c>
      <c r="B328" s="197" t="s">
        <v>755</v>
      </c>
      <c r="C328" s="17" t="s">
        <v>169</v>
      </c>
      <c r="D328" s="188">
        <v>20</v>
      </c>
      <c r="E328" s="17">
        <v>60</v>
      </c>
      <c r="F328" s="17" t="s">
        <v>159</v>
      </c>
      <c r="G328" s="17">
        <v>38</v>
      </c>
      <c r="H328" s="17" t="s">
        <v>159</v>
      </c>
      <c r="I328" s="17">
        <v>40</v>
      </c>
      <c r="J328" s="20">
        <f t="shared" si="12"/>
        <v>9.1200000000000003E-2</v>
      </c>
      <c r="K328" s="191">
        <v>14</v>
      </c>
      <c r="L328" s="191">
        <v>0.65</v>
      </c>
      <c r="M328" s="188">
        <v>6203439000</v>
      </c>
      <c r="N328" s="188" t="s">
        <v>6</v>
      </c>
      <c r="P328" s="59">
        <v>0.12</v>
      </c>
      <c r="Q328" s="57">
        <v>0.03</v>
      </c>
    </row>
    <row r="329" spans="1:17" x14ac:dyDescent="0.2">
      <c r="A329" s="198"/>
      <c r="B329" s="198"/>
      <c r="C329" s="17" t="s">
        <v>831</v>
      </c>
      <c r="D329" s="189"/>
      <c r="E329" s="17">
        <v>62</v>
      </c>
      <c r="F329" s="17" t="s">
        <v>159</v>
      </c>
      <c r="G329" s="17">
        <v>40</v>
      </c>
      <c r="H329" s="17" t="s">
        <v>159</v>
      </c>
      <c r="I329" s="17">
        <v>40</v>
      </c>
      <c r="J329" s="20">
        <f t="shared" si="12"/>
        <v>9.9199999999999997E-2</v>
      </c>
      <c r="K329" s="192"/>
      <c r="L329" s="192"/>
      <c r="M329" s="189"/>
      <c r="N329" s="189"/>
      <c r="P329" s="59"/>
      <c r="Q329" s="57"/>
    </row>
    <row r="330" spans="1:17" x14ac:dyDescent="0.2">
      <c r="A330" s="197" t="s">
        <v>773</v>
      </c>
      <c r="B330" s="197" t="s">
        <v>799</v>
      </c>
      <c r="C330" s="17" t="s">
        <v>169</v>
      </c>
      <c r="D330" s="188">
        <v>20</v>
      </c>
      <c r="E330" s="17">
        <v>58</v>
      </c>
      <c r="F330" s="17" t="s">
        <v>159</v>
      </c>
      <c r="G330" s="17">
        <v>38</v>
      </c>
      <c r="H330" s="17" t="s">
        <v>159</v>
      </c>
      <c r="I330" s="17">
        <v>26</v>
      </c>
      <c r="J330" s="20">
        <f t="shared" si="12"/>
        <v>5.7304000000000001E-2</v>
      </c>
      <c r="K330" s="191">
        <v>15</v>
      </c>
      <c r="L330" s="191">
        <v>0.7</v>
      </c>
      <c r="M330" s="188">
        <v>6203439000</v>
      </c>
      <c r="N330" s="188" t="s">
        <v>6</v>
      </c>
      <c r="P330" s="59">
        <v>0.12</v>
      </c>
      <c r="Q330" s="57">
        <v>0.03</v>
      </c>
    </row>
    <row r="331" spans="1:17" x14ac:dyDescent="0.2">
      <c r="A331" s="198"/>
      <c r="B331" s="198"/>
      <c r="C331" s="17" t="s">
        <v>831</v>
      </c>
      <c r="D331" s="189"/>
      <c r="E331" s="17">
        <v>60</v>
      </c>
      <c r="F331" s="17" t="s">
        <v>159</v>
      </c>
      <c r="G331" s="17">
        <v>40</v>
      </c>
      <c r="H331" s="17" t="s">
        <v>159</v>
      </c>
      <c r="I331" s="17">
        <v>26</v>
      </c>
      <c r="J331" s="20">
        <f t="shared" si="12"/>
        <v>6.2399999999999997E-2</v>
      </c>
      <c r="K331" s="192"/>
      <c r="L331" s="192"/>
      <c r="M331" s="189"/>
      <c r="N331" s="189"/>
      <c r="P331" s="59"/>
      <c r="Q331" s="57"/>
    </row>
    <row r="332" spans="1:17" x14ac:dyDescent="0.2">
      <c r="A332" s="19" t="s">
        <v>946</v>
      </c>
      <c r="B332" s="19" t="s">
        <v>948</v>
      </c>
      <c r="C332" s="17" t="s">
        <v>28</v>
      </c>
      <c r="D332" s="17">
        <v>10</v>
      </c>
      <c r="E332" s="17">
        <v>60</v>
      </c>
      <c r="F332" s="17" t="s">
        <v>159</v>
      </c>
      <c r="G332" s="17">
        <v>40</v>
      </c>
      <c r="H332" s="17" t="s">
        <v>159</v>
      </c>
      <c r="I332" s="17">
        <v>33.5</v>
      </c>
      <c r="J332" s="20">
        <f t="shared" si="12"/>
        <v>8.0399999999999999E-2</v>
      </c>
      <c r="K332" s="20">
        <v>9</v>
      </c>
      <c r="L332" s="20">
        <v>0.8</v>
      </c>
      <c r="M332" s="47">
        <v>6210400000</v>
      </c>
      <c r="N332" s="17" t="s">
        <v>6</v>
      </c>
      <c r="P332" s="59"/>
      <c r="Q332" s="57"/>
    </row>
    <row r="333" spans="1:17" x14ac:dyDescent="0.2">
      <c r="A333" s="19" t="s">
        <v>947</v>
      </c>
      <c r="B333" s="19" t="s">
        <v>949</v>
      </c>
      <c r="C333" s="17" t="s">
        <v>8</v>
      </c>
      <c r="D333" s="17">
        <v>10</v>
      </c>
      <c r="E333" s="17">
        <v>60</v>
      </c>
      <c r="F333" s="17" t="s">
        <v>159</v>
      </c>
      <c r="G333" s="17">
        <v>40</v>
      </c>
      <c r="H333" s="17" t="s">
        <v>159</v>
      </c>
      <c r="I333" s="17">
        <v>30</v>
      </c>
      <c r="J333" s="20">
        <f t="shared" si="12"/>
        <v>7.1999999999999995E-2</v>
      </c>
      <c r="K333" s="20">
        <v>8.5</v>
      </c>
      <c r="L333" s="20">
        <f>7.5/10</f>
        <v>0.75</v>
      </c>
      <c r="M333" s="47">
        <v>6210500000</v>
      </c>
      <c r="N333" s="17" t="s">
        <v>6</v>
      </c>
      <c r="P333" s="59"/>
      <c r="Q333" s="57"/>
    </row>
    <row r="334" spans="1:17" x14ac:dyDescent="0.2">
      <c r="A334" s="204" t="s">
        <v>868</v>
      </c>
      <c r="B334" s="204" t="s">
        <v>869</v>
      </c>
      <c r="C334" s="47" t="s">
        <v>919</v>
      </c>
      <c r="D334" s="188">
        <v>10</v>
      </c>
      <c r="E334" s="47">
        <v>60</v>
      </c>
      <c r="F334" s="47" t="s">
        <v>159</v>
      </c>
      <c r="G334" s="47">
        <v>40</v>
      </c>
      <c r="H334" s="47" t="s">
        <v>159</v>
      </c>
      <c r="I334" s="47">
        <v>40</v>
      </c>
      <c r="J334" s="94">
        <f t="shared" si="12"/>
        <v>9.6000000000000002E-2</v>
      </c>
      <c r="K334" s="94">
        <v>14.5</v>
      </c>
      <c r="L334" s="94">
        <f>13.5/10</f>
        <v>1.35</v>
      </c>
      <c r="M334" s="194">
        <v>6210400000</v>
      </c>
      <c r="N334" s="194" t="s">
        <v>6</v>
      </c>
      <c r="P334" s="59"/>
      <c r="Q334" s="57"/>
    </row>
    <row r="335" spans="1:17" x14ac:dyDescent="0.2">
      <c r="A335" s="198"/>
      <c r="B335" s="198"/>
      <c r="C335" s="17" t="s">
        <v>920</v>
      </c>
      <c r="D335" s="189"/>
      <c r="E335" s="17">
        <v>60</v>
      </c>
      <c r="F335" s="17"/>
      <c r="G335" s="17">
        <v>40</v>
      </c>
      <c r="H335" s="17"/>
      <c r="I335" s="17">
        <v>42</v>
      </c>
      <c r="J335" s="20">
        <f t="shared" si="12"/>
        <v>0.1008</v>
      </c>
      <c r="K335" s="87">
        <v>15.5</v>
      </c>
      <c r="L335" s="87">
        <f>14.5/10</f>
        <v>1.45</v>
      </c>
      <c r="M335" s="189"/>
      <c r="N335" s="189"/>
      <c r="P335" s="59"/>
      <c r="Q335" s="57"/>
    </row>
    <row r="336" spans="1:17" x14ac:dyDescent="0.2">
      <c r="A336" s="19" t="s">
        <v>870</v>
      </c>
      <c r="B336" s="19" t="s">
        <v>871</v>
      </c>
      <c r="C336" s="17" t="s">
        <v>390</v>
      </c>
      <c r="D336" s="17">
        <v>20</v>
      </c>
      <c r="E336" s="17">
        <v>60</v>
      </c>
      <c r="F336" s="17" t="s">
        <v>159</v>
      </c>
      <c r="G336" s="17">
        <v>40</v>
      </c>
      <c r="H336" s="17" t="s">
        <v>159</v>
      </c>
      <c r="I336" s="17">
        <v>24</v>
      </c>
      <c r="J336" s="20">
        <f t="shared" si="12"/>
        <v>5.7599999999999998E-2</v>
      </c>
      <c r="K336" s="20">
        <v>16.489999999999998</v>
      </c>
      <c r="L336" s="20">
        <v>0.72399999999999998</v>
      </c>
      <c r="M336" s="17">
        <v>6203439000</v>
      </c>
      <c r="N336" s="17" t="s">
        <v>6</v>
      </c>
      <c r="P336" s="59"/>
      <c r="Q336" s="57"/>
    </row>
    <row r="337" spans="1:17" x14ac:dyDescent="0.2">
      <c r="A337" s="82" t="s">
        <v>872</v>
      </c>
      <c r="B337" s="82" t="s">
        <v>873</v>
      </c>
      <c r="C337" s="17" t="s">
        <v>390</v>
      </c>
      <c r="D337" s="81">
        <v>20</v>
      </c>
      <c r="E337" s="17">
        <v>60</v>
      </c>
      <c r="F337" s="17" t="s">
        <v>159</v>
      </c>
      <c r="G337" s="17">
        <v>40</v>
      </c>
      <c r="H337" s="17" t="s">
        <v>159</v>
      </c>
      <c r="I337" s="17">
        <v>18</v>
      </c>
      <c r="J337" s="20">
        <f t="shared" si="12"/>
        <v>4.3200000000000002E-2</v>
      </c>
      <c r="K337" s="90">
        <v>11.41</v>
      </c>
      <c r="L337" s="90">
        <v>0.47</v>
      </c>
      <c r="M337" s="17">
        <v>6203439000</v>
      </c>
      <c r="N337" s="81" t="s">
        <v>6</v>
      </c>
      <c r="P337" s="59"/>
      <c r="Q337" s="57"/>
    </row>
    <row r="338" spans="1:17" x14ac:dyDescent="0.2">
      <c r="A338" s="197" t="s">
        <v>932</v>
      </c>
      <c r="B338" s="197" t="s">
        <v>933</v>
      </c>
      <c r="C338" s="17" t="s">
        <v>7</v>
      </c>
      <c r="D338" s="188">
        <v>10</v>
      </c>
      <c r="E338" s="17">
        <v>58</v>
      </c>
      <c r="F338" s="17" t="s">
        <v>159</v>
      </c>
      <c r="G338" s="17">
        <v>38</v>
      </c>
      <c r="H338" s="17" t="s">
        <v>159</v>
      </c>
      <c r="I338" s="17">
        <v>36</v>
      </c>
      <c r="J338" s="20">
        <f t="shared" si="12"/>
        <v>7.9343999999999998E-2</v>
      </c>
      <c r="K338" s="90">
        <v>8.3000000000000007</v>
      </c>
      <c r="L338" s="90">
        <v>0.73</v>
      </c>
      <c r="M338" s="188">
        <v>6201930000</v>
      </c>
      <c r="N338" s="188" t="s">
        <v>6</v>
      </c>
      <c r="P338" s="59"/>
      <c r="Q338" s="57"/>
    </row>
    <row r="339" spans="1:17" x14ac:dyDescent="0.2">
      <c r="A339" s="204"/>
      <c r="B339" s="204"/>
      <c r="C339" s="17" t="s">
        <v>168</v>
      </c>
      <c r="D339" s="194"/>
      <c r="E339" s="17">
        <v>60</v>
      </c>
      <c r="F339" s="17" t="s">
        <v>159</v>
      </c>
      <c r="G339" s="17">
        <v>40</v>
      </c>
      <c r="H339" s="17" t="s">
        <v>159</v>
      </c>
      <c r="I339" s="17">
        <v>36</v>
      </c>
      <c r="J339" s="20">
        <f t="shared" si="12"/>
        <v>8.6400000000000005E-2</v>
      </c>
      <c r="K339" s="90">
        <v>9.625</v>
      </c>
      <c r="L339" s="90">
        <v>0.86199999999999999</v>
      </c>
      <c r="M339" s="194"/>
      <c r="N339" s="194"/>
      <c r="P339" s="59"/>
      <c r="Q339" s="57"/>
    </row>
    <row r="340" spans="1:17" x14ac:dyDescent="0.2">
      <c r="A340" s="198"/>
      <c r="B340" s="198"/>
      <c r="C340" s="17" t="s">
        <v>485</v>
      </c>
      <c r="D340" s="189"/>
      <c r="E340" s="17">
        <v>60</v>
      </c>
      <c r="F340" s="17" t="s">
        <v>159</v>
      </c>
      <c r="G340" s="17">
        <v>40</v>
      </c>
      <c r="H340" s="17" t="s">
        <v>159</v>
      </c>
      <c r="I340" s="17">
        <v>39</v>
      </c>
      <c r="J340" s="20">
        <f t="shared" si="12"/>
        <v>9.3600000000000003E-2</v>
      </c>
      <c r="K340" s="90">
        <v>10.525</v>
      </c>
      <c r="L340" s="90">
        <v>0.95250000000000001</v>
      </c>
      <c r="M340" s="189"/>
      <c r="N340" s="189"/>
      <c r="P340" s="59"/>
      <c r="Q340" s="57"/>
    </row>
    <row r="341" spans="1:17" x14ac:dyDescent="0.2">
      <c r="A341" s="197" t="s">
        <v>874</v>
      </c>
      <c r="B341" s="197" t="s">
        <v>875</v>
      </c>
      <c r="C341" s="17" t="s">
        <v>919</v>
      </c>
      <c r="D341" s="81">
        <v>10</v>
      </c>
      <c r="E341" s="17">
        <v>60</v>
      </c>
      <c r="F341" s="17" t="s">
        <v>159</v>
      </c>
      <c r="G341" s="17">
        <v>40</v>
      </c>
      <c r="H341" s="17" t="s">
        <v>159</v>
      </c>
      <c r="I341" s="17">
        <v>25</v>
      </c>
      <c r="J341" s="20">
        <f t="shared" si="12"/>
        <v>0.06</v>
      </c>
      <c r="K341" s="90">
        <v>10.26</v>
      </c>
      <c r="L341" s="90">
        <v>0.84</v>
      </c>
      <c r="M341" s="188">
        <v>6103390090</v>
      </c>
      <c r="N341" s="188" t="s">
        <v>108</v>
      </c>
      <c r="P341" s="59"/>
      <c r="Q341" s="57"/>
    </row>
    <row r="342" spans="1:17" x14ac:dyDescent="0.2">
      <c r="A342" s="198"/>
      <c r="B342" s="198"/>
      <c r="C342" s="17" t="s">
        <v>925</v>
      </c>
      <c r="D342" s="81">
        <v>10</v>
      </c>
      <c r="E342" s="17">
        <v>60</v>
      </c>
      <c r="F342" s="17" t="s">
        <v>159</v>
      </c>
      <c r="G342" s="17">
        <v>40</v>
      </c>
      <c r="H342" s="17" t="s">
        <v>159</v>
      </c>
      <c r="I342" s="17">
        <v>30</v>
      </c>
      <c r="J342" s="20">
        <f t="shared" si="12"/>
        <v>7.1999999999999995E-2</v>
      </c>
      <c r="K342" s="90">
        <v>10.3</v>
      </c>
      <c r="L342" s="90">
        <v>0.84</v>
      </c>
      <c r="M342" s="189"/>
      <c r="N342" s="189"/>
      <c r="P342" s="59"/>
      <c r="Q342" s="57"/>
    </row>
    <row r="343" spans="1:17" x14ac:dyDescent="0.2">
      <c r="A343" s="197" t="s">
        <v>876</v>
      </c>
      <c r="B343" s="197" t="s">
        <v>877</v>
      </c>
      <c r="C343" s="17" t="s">
        <v>926</v>
      </c>
      <c r="D343" s="188">
        <v>10</v>
      </c>
      <c r="E343" s="17">
        <v>58</v>
      </c>
      <c r="F343" s="17" t="s">
        <v>159</v>
      </c>
      <c r="G343" s="17">
        <v>38</v>
      </c>
      <c r="H343" s="17" t="s">
        <v>159</v>
      </c>
      <c r="I343" s="17">
        <v>40</v>
      </c>
      <c r="J343" s="20">
        <f t="shared" si="12"/>
        <v>8.8160000000000002E-2</v>
      </c>
      <c r="K343" s="90">
        <v>14.6</v>
      </c>
      <c r="L343" s="90">
        <f>13.6/10</f>
        <v>1.3599999999999999</v>
      </c>
      <c r="M343" s="188">
        <v>6201930000</v>
      </c>
      <c r="N343" s="188" t="s">
        <v>6</v>
      </c>
      <c r="P343" s="59"/>
      <c r="Q343" s="57"/>
    </row>
    <row r="344" spans="1:17" x14ac:dyDescent="0.2">
      <c r="A344" s="198"/>
      <c r="B344" s="198"/>
      <c r="C344" s="17" t="s">
        <v>920</v>
      </c>
      <c r="D344" s="189"/>
      <c r="E344" s="17">
        <v>60</v>
      </c>
      <c r="F344" s="17" t="s">
        <v>159</v>
      </c>
      <c r="G344" s="17">
        <v>40</v>
      </c>
      <c r="H344" s="17" t="s">
        <v>159</v>
      </c>
      <c r="I344" s="17">
        <v>40</v>
      </c>
      <c r="J344" s="20">
        <f t="shared" si="12"/>
        <v>9.6000000000000002E-2</v>
      </c>
      <c r="K344" s="90">
        <v>14.6</v>
      </c>
      <c r="L344" s="90">
        <f>13.6/10</f>
        <v>1.3599999999999999</v>
      </c>
      <c r="M344" s="189"/>
      <c r="N344" s="189"/>
      <c r="P344" s="59"/>
      <c r="Q344" s="57"/>
    </row>
    <row r="345" spans="1:17" x14ac:dyDescent="0.2">
      <c r="A345" s="197" t="s">
        <v>950</v>
      </c>
      <c r="B345" s="197" t="s">
        <v>951</v>
      </c>
      <c r="C345" s="17" t="s">
        <v>7</v>
      </c>
      <c r="D345" s="188">
        <v>10</v>
      </c>
      <c r="E345" s="17">
        <v>58</v>
      </c>
      <c r="F345" s="17" t="s">
        <v>159</v>
      </c>
      <c r="G345" s="17">
        <v>38</v>
      </c>
      <c r="H345" s="17" t="s">
        <v>159</v>
      </c>
      <c r="I345" s="17">
        <v>28</v>
      </c>
      <c r="J345" s="20">
        <f t="shared" si="12"/>
        <v>6.1712000000000003E-2</v>
      </c>
      <c r="K345" s="20">
        <v>6.68</v>
      </c>
      <c r="L345" s="20">
        <f>5.68/10</f>
        <v>0.56799999999999995</v>
      </c>
      <c r="M345" s="188">
        <v>6211339000</v>
      </c>
      <c r="N345" s="188" t="s">
        <v>6</v>
      </c>
      <c r="P345" s="59"/>
      <c r="Q345" s="57"/>
    </row>
    <row r="346" spans="1:17" x14ac:dyDescent="0.2">
      <c r="A346" s="198"/>
      <c r="B346" s="198"/>
      <c r="C346" s="17" t="s">
        <v>173</v>
      </c>
      <c r="D346" s="189"/>
      <c r="E346" s="17">
        <v>60</v>
      </c>
      <c r="F346" s="17" t="s">
        <v>159</v>
      </c>
      <c r="G346" s="17">
        <v>40</v>
      </c>
      <c r="H346" s="17" t="s">
        <v>159</v>
      </c>
      <c r="I346" s="17">
        <v>30</v>
      </c>
      <c r="J346" s="20">
        <f t="shared" si="12"/>
        <v>7.1999999999999995E-2</v>
      </c>
      <c r="K346" s="90">
        <v>7.7880000000000003</v>
      </c>
      <c r="L346" s="90">
        <f>6.788/10</f>
        <v>0.67880000000000007</v>
      </c>
      <c r="M346" s="189"/>
      <c r="N346" s="189"/>
      <c r="P346" s="59"/>
      <c r="Q346" s="57"/>
    </row>
    <row r="347" spans="1:17" x14ac:dyDescent="0.2">
      <c r="A347" s="197" t="s">
        <v>774</v>
      </c>
      <c r="B347" s="197" t="s">
        <v>798</v>
      </c>
      <c r="C347" s="17" t="s">
        <v>525</v>
      </c>
      <c r="D347" s="188">
        <v>10</v>
      </c>
      <c r="E347" s="17">
        <v>58</v>
      </c>
      <c r="F347" s="17" t="s">
        <v>159</v>
      </c>
      <c r="G347" s="17">
        <v>38</v>
      </c>
      <c r="H347" s="17" t="s">
        <v>159</v>
      </c>
      <c r="I347" s="17">
        <v>36</v>
      </c>
      <c r="J347" s="20">
        <f t="shared" si="12"/>
        <v>7.9343999999999998E-2</v>
      </c>
      <c r="K347" s="191">
        <v>12.5</v>
      </c>
      <c r="L347" s="191">
        <f>11.5/10</f>
        <v>1.1499999999999999</v>
      </c>
      <c r="M347" s="188">
        <v>6210400000</v>
      </c>
      <c r="N347" s="188" t="s">
        <v>6</v>
      </c>
      <c r="P347" s="59">
        <v>0.12</v>
      </c>
      <c r="Q347" s="57">
        <v>0.03</v>
      </c>
    </row>
    <row r="348" spans="1:17" x14ac:dyDescent="0.2">
      <c r="A348" s="204"/>
      <c r="B348" s="204"/>
      <c r="C348" s="17" t="s">
        <v>374</v>
      </c>
      <c r="D348" s="194"/>
      <c r="E348" s="17">
        <v>60</v>
      </c>
      <c r="F348" s="17" t="s">
        <v>159</v>
      </c>
      <c r="G348" s="17">
        <v>40</v>
      </c>
      <c r="H348" s="17" t="s">
        <v>159</v>
      </c>
      <c r="I348" s="17">
        <v>38</v>
      </c>
      <c r="J348" s="20">
        <f t="shared" si="12"/>
        <v>9.1200000000000003E-2</v>
      </c>
      <c r="K348" s="192"/>
      <c r="L348" s="192"/>
      <c r="M348" s="194"/>
      <c r="N348" s="194"/>
      <c r="P348" s="59"/>
      <c r="Q348" s="57"/>
    </row>
    <row r="349" spans="1:17" x14ac:dyDescent="0.2">
      <c r="A349" s="198"/>
      <c r="B349" s="198"/>
      <c r="C349" s="17" t="s">
        <v>158</v>
      </c>
      <c r="D349" s="189"/>
      <c r="E349" s="17">
        <v>60</v>
      </c>
      <c r="F349" s="17" t="s">
        <v>159</v>
      </c>
      <c r="G349" s="17">
        <v>40</v>
      </c>
      <c r="H349" s="17" t="s">
        <v>159</v>
      </c>
      <c r="I349" s="17">
        <v>42</v>
      </c>
      <c r="J349" s="20">
        <f t="shared" si="12"/>
        <v>0.1008</v>
      </c>
      <c r="K349" s="20">
        <v>13.5</v>
      </c>
      <c r="L349" s="20">
        <f>12.5/10</f>
        <v>1.25</v>
      </c>
      <c r="M349" s="189"/>
      <c r="N349" s="189"/>
      <c r="P349" s="59"/>
      <c r="Q349" s="57"/>
    </row>
    <row r="350" spans="1:17" x14ac:dyDescent="0.2">
      <c r="A350" s="19" t="s">
        <v>775</v>
      </c>
      <c r="B350" s="19" t="s">
        <v>797</v>
      </c>
      <c r="C350" s="17" t="s">
        <v>192</v>
      </c>
      <c r="D350" s="17">
        <v>25</v>
      </c>
      <c r="E350" s="17">
        <v>30</v>
      </c>
      <c r="F350" s="17" t="s">
        <v>159</v>
      </c>
      <c r="G350" s="17">
        <v>28</v>
      </c>
      <c r="H350" s="17" t="s">
        <v>159</v>
      </c>
      <c r="I350" s="17">
        <v>20</v>
      </c>
      <c r="J350" s="20">
        <f t="shared" si="12"/>
        <v>1.6799999999999999E-2</v>
      </c>
      <c r="K350" s="20">
        <v>6</v>
      </c>
      <c r="L350" s="20">
        <v>0.2</v>
      </c>
      <c r="M350" s="17">
        <v>6114300000</v>
      </c>
      <c r="N350" s="17" t="s">
        <v>6</v>
      </c>
      <c r="P350" s="59">
        <v>0.12</v>
      </c>
      <c r="Q350" s="57">
        <v>0.03</v>
      </c>
    </row>
    <row r="351" spans="1:17" x14ac:dyDescent="0.2">
      <c r="A351" s="197" t="s">
        <v>878</v>
      </c>
      <c r="B351" s="197" t="s">
        <v>879</v>
      </c>
      <c r="C351" s="17" t="s">
        <v>169</v>
      </c>
      <c r="D351" s="81">
        <v>10</v>
      </c>
      <c r="E351" s="17">
        <v>58</v>
      </c>
      <c r="F351" s="17" t="s">
        <v>159</v>
      </c>
      <c r="G351" s="17">
        <v>38</v>
      </c>
      <c r="H351" s="17" t="s">
        <v>159</v>
      </c>
      <c r="I351" s="17">
        <v>26</v>
      </c>
      <c r="J351" s="20">
        <f t="shared" si="12"/>
        <v>5.7304000000000001E-2</v>
      </c>
      <c r="K351" s="90">
        <v>7.45</v>
      </c>
      <c r="L351" s="90">
        <v>0.64</v>
      </c>
      <c r="M351" s="209">
        <v>6201930000</v>
      </c>
      <c r="N351" s="188" t="s">
        <v>6</v>
      </c>
      <c r="P351" s="59"/>
      <c r="Q351" s="57"/>
    </row>
    <row r="352" spans="1:17" x14ac:dyDescent="0.2">
      <c r="A352" s="198"/>
      <c r="B352" s="198"/>
      <c r="C352" s="17" t="s">
        <v>173</v>
      </c>
      <c r="D352" s="81">
        <v>10</v>
      </c>
      <c r="E352" s="17">
        <v>60</v>
      </c>
      <c r="F352" s="17" t="s">
        <v>159</v>
      </c>
      <c r="G352" s="17">
        <v>40</v>
      </c>
      <c r="H352" s="17" t="s">
        <v>159</v>
      </c>
      <c r="I352" s="17">
        <v>30</v>
      </c>
      <c r="J352" s="20">
        <f t="shared" si="12"/>
        <v>7.1999999999999995E-2</v>
      </c>
      <c r="K352" s="90">
        <v>9.01</v>
      </c>
      <c r="L352" s="90">
        <v>0.8</v>
      </c>
      <c r="M352" s="211"/>
      <c r="N352" s="189"/>
      <c r="P352" s="59"/>
      <c r="Q352" s="57"/>
    </row>
    <row r="353" spans="1:17" x14ac:dyDescent="0.2">
      <c r="A353" s="82" t="s">
        <v>880</v>
      </c>
      <c r="B353" s="82" t="s">
        <v>881</v>
      </c>
      <c r="C353" s="86" t="s">
        <v>882</v>
      </c>
      <c r="D353" s="81">
        <v>8</v>
      </c>
      <c r="E353" s="17">
        <v>51.5</v>
      </c>
      <c r="F353" s="17" t="s">
        <v>159</v>
      </c>
      <c r="G353" s="17">
        <v>47.5</v>
      </c>
      <c r="H353" s="17" t="s">
        <v>159</v>
      </c>
      <c r="I353" s="17">
        <v>35.5</v>
      </c>
      <c r="J353" s="20">
        <f t="shared" si="12"/>
        <v>8.6841874999999999E-2</v>
      </c>
      <c r="K353" s="90">
        <v>12.23</v>
      </c>
      <c r="L353" s="90">
        <v>1.5289999999999999</v>
      </c>
      <c r="M353" s="81">
        <v>6403400000</v>
      </c>
      <c r="N353" s="81" t="s">
        <v>6</v>
      </c>
      <c r="P353" s="59"/>
      <c r="Q353" s="57"/>
    </row>
    <row r="354" spans="1:17" x14ac:dyDescent="0.2">
      <c r="A354" s="82" t="s">
        <v>883</v>
      </c>
      <c r="B354" s="82" t="s">
        <v>884</v>
      </c>
      <c r="C354" s="86" t="s">
        <v>882</v>
      </c>
      <c r="D354" s="81">
        <v>8</v>
      </c>
      <c r="E354" s="17">
        <v>51.5</v>
      </c>
      <c r="F354" s="17" t="s">
        <v>159</v>
      </c>
      <c r="G354" s="17">
        <v>47.5</v>
      </c>
      <c r="H354" s="17" t="s">
        <v>159</v>
      </c>
      <c r="I354" s="17">
        <v>35.5</v>
      </c>
      <c r="J354" s="20">
        <f t="shared" si="12"/>
        <v>8.6841874999999999E-2</v>
      </c>
      <c r="K354" s="90">
        <v>13.29</v>
      </c>
      <c r="L354" s="90">
        <v>1.66</v>
      </c>
      <c r="M354" s="81">
        <v>6403400000</v>
      </c>
      <c r="N354" s="81" t="s">
        <v>6</v>
      </c>
      <c r="P354" s="59"/>
      <c r="Q354" s="57"/>
    </row>
    <row r="355" spans="1:17" ht="39" x14ac:dyDescent="0.2">
      <c r="A355" s="197" t="s">
        <v>776</v>
      </c>
      <c r="B355" s="197" t="s">
        <v>800</v>
      </c>
      <c r="C355" s="17" t="s">
        <v>838</v>
      </c>
      <c r="D355" s="188">
        <v>8</v>
      </c>
      <c r="E355" s="46">
        <v>49.5</v>
      </c>
      <c r="F355" s="46" t="s">
        <v>159</v>
      </c>
      <c r="G355" s="46">
        <v>32.5</v>
      </c>
      <c r="H355" s="46" t="s">
        <v>159</v>
      </c>
      <c r="I355" s="46">
        <v>50.5</v>
      </c>
      <c r="J355" s="20">
        <f t="shared" si="12"/>
        <v>8.1241875000000005E-2</v>
      </c>
      <c r="K355" s="191">
        <v>13.6</v>
      </c>
      <c r="L355" s="191">
        <v>1.7</v>
      </c>
      <c r="M355" s="188">
        <v>6403400000</v>
      </c>
      <c r="N355" s="188" t="s">
        <v>6</v>
      </c>
      <c r="P355" s="59">
        <v>0.08</v>
      </c>
      <c r="Q355" s="57" t="s">
        <v>826</v>
      </c>
    </row>
    <row r="356" spans="1:17" ht="39" x14ac:dyDescent="0.2">
      <c r="A356" s="198"/>
      <c r="B356" s="198"/>
      <c r="C356" s="17" t="s">
        <v>837</v>
      </c>
      <c r="D356" s="189"/>
      <c r="E356" s="46">
        <v>51.5</v>
      </c>
      <c r="F356" s="46" t="s">
        <v>159</v>
      </c>
      <c r="G356" s="46">
        <v>34.5</v>
      </c>
      <c r="H356" s="46" t="s">
        <v>159</v>
      </c>
      <c r="I356" s="46">
        <v>52.5</v>
      </c>
      <c r="J356" s="20">
        <f t="shared" si="12"/>
        <v>9.3279374999999998E-2</v>
      </c>
      <c r="K356" s="192"/>
      <c r="L356" s="192"/>
      <c r="M356" s="189"/>
      <c r="N356" s="189"/>
      <c r="P356" s="59"/>
      <c r="Q356" s="57"/>
    </row>
    <row r="357" spans="1:17" ht="39" x14ac:dyDescent="0.2">
      <c r="A357" s="197" t="s">
        <v>777</v>
      </c>
      <c r="B357" s="197" t="s">
        <v>801</v>
      </c>
      <c r="C357" s="17" t="s">
        <v>840</v>
      </c>
      <c r="D357" s="188">
        <v>8</v>
      </c>
      <c r="E357" s="46">
        <v>49.5</v>
      </c>
      <c r="F357" s="46" t="s">
        <v>159</v>
      </c>
      <c r="G357" s="46">
        <v>32.5</v>
      </c>
      <c r="H357" s="46" t="s">
        <v>159</v>
      </c>
      <c r="I357" s="46">
        <v>50.5</v>
      </c>
      <c r="J357" s="20">
        <f t="shared" si="12"/>
        <v>8.1241875000000005E-2</v>
      </c>
      <c r="K357" s="191">
        <v>12</v>
      </c>
      <c r="L357" s="191">
        <v>1.5</v>
      </c>
      <c r="M357" s="188">
        <v>6405901000</v>
      </c>
      <c r="N357" s="188" t="s">
        <v>6</v>
      </c>
      <c r="P357" s="59">
        <v>0.08</v>
      </c>
      <c r="Q357" s="57" t="s">
        <v>826</v>
      </c>
    </row>
    <row r="358" spans="1:17" ht="39" x14ac:dyDescent="0.2">
      <c r="A358" s="198"/>
      <c r="B358" s="198"/>
      <c r="C358" s="17" t="s">
        <v>839</v>
      </c>
      <c r="D358" s="189"/>
      <c r="E358" s="46">
        <v>51.5</v>
      </c>
      <c r="F358" s="46" t="s">
        <v>159</v>
      </c>
      <c r="G358" s="46">
        <v>34.5</v>
      </c>
      <c r="H358" s="46" t="s">
        <v>159</v>
      </c>
      <c r="I358" s="46">
        <v>52.5</v>
      </c>
      <c r="J358" s="20">
        <f t="shared" ref="J358:J385" si="13">+E358*G358*I358/1000000</f>
        <v>9.3279374999999998E-2</v>
      </c>
      <c r="K358" s="192"/>
      <c r="L358" s="192"/>
      <c r="M358" s="189"/>
      <c r="N358" s="189"/>
      <c r="P358" s="59"/>
      <c r="Q358" s="57"/>
    </row>
    <row r="359" spans="1:17" ht="39" x14ac:dyDescent="0.2">
      <c r="A359" s="197" t="s">
        <v>827</v>
      </c>
      <c r="B359" s="197" t="s">
        <v>802</v>
      </c>
      <c r="C359" s="17" t="s">
        <v>841</v>
      </c>
      <c r="D359" s="188">
        <v>8</v>
      </c>
      <c r="E359" s="46">
        <v>49.5</v>
      </c>
      <c r="F359" s="46" t="s">
        <v>159</v>
      </c>
      <c r="G359" s="46">
        <v>32.5</v>
      </c>
      <c r="H359" s="46" t="s">
        <v>159</v>
      </c>
      <c r="I359" s="46">
        <v>50.5</v>
      </c>
      <c r="J359" s="20">
        <f t="shared" si="13"/>
        <v>8.1241875000000005E-2</v>
      </c>
      <c r="K359" s="191">
        <v>12</v>
      </c>
      <c r="L359" s="191">
        <v>1.5</v>
      </c>
      <c r="M359" s="188">
        <v>6403400000</v>
      </c>
      <c r="N359" s="188" t="s">
        <v>6</v>
      </c>
      <c r="P359" s="59">
        <v>0.08</v>
      </c>
      <c r="Q359" s="57" t="s">
        <v>826</v>
      </c>
    </row>
    <row r="360" spans="1:17" ht="39" x14ac:dyDescent="0.2">
      <c r="A360" s="198"/>
      <c r="B360" s="198"/>
      <c r="C360" s="17" t="s">
        <v>839</v>
      </c>
      <c r="D360" s="189"/>
      <c r="E360" s="46">
        <v>51.5</v>
      </c>
      <c r="F360" s="46" t="s">
        <v>159</v>
      </c>
      <c r="G360" s="46">
        <v>34.5</v>
      </c>
      <c r="H360" s="46" t="s">
        <v>159</v>
      </c>
      <c r="I360" s="46">
        <v>52.5</v>
      </c>
      <c r="J360" s="20">
        <f t="shared" si="13"/>
        <v>9.3279374999999998E-2</v>
      </c>
      <c r="K360" s="192"/>
      <c r="L360" s="192"/>
      <c r="M360" s="189"/>
      <c r="N360" s="189"/>
      <c r="P360" s="59"/>
      <c r="Q360" s="57"/>
    </row>
    <row r="361" spans="1:17" ht="39" x14ac:dyDescent="0.2">
      <c r="A361" s="19" t="s">
        <v>828</v>
      </c>
      <c r="B361" s="19" t="s">
        <v>802</v>
      </c>
      <c r="C361" s="17" t="s">
        <v>829</v>
      </c>
      <c r="D361" s="17">
        <v>8</v>
      </c>
      <c r="E361" s="46">
        <v>49.5</v>
      </c>
      <c r="F361" s="46" t="s">
        <v>159</v>
      </c>
      <c r="G361" s="46">
        <v>32.5</v>
      </c>
      <c r="H361" s="46" t="s">
        <v>159</v>
      </c>
      <c r="I361" s="46">
        <v>50.5</v>
      </c>
      <c r="J361" s="20">
        <f t="shared" si="13"/>
        <v>8.1241875000000005E-2</v>
      </c>
      <c r="K361" s="20">
        <v>10.4</v>
      </c>
      <c r="L361" s="20">
        <v>1.3</v>
      </c>
      <c r="M361" s="17">
        <v>6403400000</v>
      </c>
      <c r="N361" s="17" t="s">
        <v>6</v>
      </c>
      <c r="P361" s="59">
        <v>0.08</v>
      </c>
      <c r="Q361" s="57" t="s">
        <v>826</v>
      </c>
    </row>
    <row r="362" spans="1:17" ht="39" x14ac:dyDescent="0.2">
      <c r="A362" s="197" t="s">
        <v>778</v>
      </c>
      <c r="B362" s="197" t="s">
        <v>803</v>
      </c>
      <c r="C362" s="17" t="s">
        <v>840</v>
      </c>
      <c r="D362" s="188">
        <v>8</v>
      </c>
      <c r="E362" s="46">
        <v>49.5</v>
      </c>
      <c r="F362" s="46" t="s">
        <v>159</v>
      </c>
      <c r="G362" s="46">
        <v>32.5</v>
      </c>
      <c r="H362" s="46" t="s">
        <v>159</v>
      </c>
      <c r="I362" s="46">
        <v>50.5</v>
      </c>
      <c r="J362" s="20">
        <f t="shared" si="13"/>
        <v>8.1241875000000005E-2</v>
      </c>
      <c r="K362" s="191">
        <v>12.8</v>
      </c>
      <c r="L362" s="191">
        <v>1.6</v>
      </c>
      <c r="M362" s="188">
        <v>6405901000</v>
      </c>
      <c r="N362" s="188" t="s">
        <v>6</v>
      </c>
      <c r="P362" s="59">
        <v>0.08</v>
      </c>
      <c r="Q362" s="57" t="s">
        <v>826</v>
      </c>
    </row>
    <row r="363" spans="1:17" ht="39" x14ac:dyDescent="0.2">
      <c r="A363" s="198"/>
      <c r="B363" s="236"/>
      <c r="C363" s="17" t="s">
        <v>839</v>
      </c>
      <c r="D363" s="189"/>
      <c r="E363" s="46">
        <v>51.5</v>
      </c>
      <c r="F363" s="46" t="s">
        <v>159</v>
      </c>
      <c r="G363" s="46">
        <v>34.5</v>
      </c>
      <c r="H363" s="46" t="s">
        <v>159</v>
      </c>
      <c r="I363" s="46">
        <v>52.5</v>
      </c>
      <c r="J363" s="20">
        <f t="shared" si="13"/>
        <v>9.3279374999999998E-2</v>
      </c>
      <c r="K363" s="192"/>
      <c r="L363" s="192"/>
      <c r="M363" s="189"/>
      <c r="N363" s="189"/>
      <c r="P363" s="59"/>
      <c r="Q363" s="57"/>
    </row>
    <row r="364" spans="1:17" ht="39" x14ac:dyDescent="0.2">
      <c r="A364" s="197" t="s">
        <v>779</v>
      </c>
      <c r="B364" s="197" t="s">
        <v>804</v>
      </c>
      <c r="C364" s="17" t="s">
        <v>841</v>
      </c>
      <c r="D364" s="188">
        <v>8</v>
      </c>
      <c r="E364" s="46">
        <v>49.5</v>
      </c>
      <c r="F364" s="46" t="s">
        <v>159</v>
      </c>
      <c r="G364" s="46">
        <v>32.5</v>
      </c>
      <c r="H364" s="46" t="s">
        <v>159</v>
      </c>
      <c r="I364" s="46">
        <v>50.5</v>
      </c>
      <c r="J364" s="20">
        <f t="shared" si="13"/>
        <v>8.1241875000000005E-2</v>
      </c>
      <c r="K364" s="191">
        <v>12.8</v>
      </c>
      <c r="L364" s="191">
        <v>1.6</v>
      </c>
      <c r="M364" s="188">
        <v>6403400000</v>
      </c>
      <c r="N364" s="188" t="s">
        <v>6</v>
      </c>
      <c r="P364" s="59">
        <v>0.08</v>
      </c>
      <c r="Q364" s="57" t="s">
        <v>826</v>
      </c>
    </row>
    <row r="365" spans="1:17" ht="39" x14ac:dyDescent="0.2">
      <c r="A365" s="198"/>
      <c r="B365" s="198"/>
      <c r="C365" s="17" t="s">
        <v>839</v>
      </c>
      <c r="D365" s="189"/>
      <c r="E365" s="46">
        <v>51.5</v>
      </c>
      <c r="F365" s="46" t="s">
        <v>159</v>
      </c>
      <c r="G365" s="46">
        <v>34.5</v>
      </c>
      <c r="H365" s="46" t="s">
        <v>159</v>
      </c>
      <c r="I365" s="46">
        <v>52.5</v>
      </c>
      <c r="J365" s="20">
        <f t="shared" si="13"/>
        <v>9.3279374999999998E-2</v>
      </c>
      <c r="K365" s="192"/>
      <c r="L365" s="192"/>
      <c r="M365" s="189"/>
      <c r="N365" s="189"/>
      <c r="P365" s="59"/>
      <c r="Q365" s="57"/>
    </row>
    <row r="366" spans="1:17" ht="39" x14ac:dyDescent="0.2">
      <c r="A366" s="197" t="s">
        <v>780</v>
      </c>
      <c r="B366" s="197" t="s">
        <v>805</v>
      </c>
      <c r="C366" s="17" t="s">
        <v>841</v>
      </c>
      <c r="D366" s="188">
        <v>8</v>
      </c>
      <c r="E366" s="46">
        <v>49.5</v>
      </c>
      <c r="F366" s="46" t="s">
        <v>159</v>
      </c>
      <c r="G366" s="46">
        <v>32.5</v>
      </c>
      <c r="H366" s="46" t="s">
        <v>159</v>
      </c>
      <c r="I366" s="46">
        <v>50.5</v>
      </c>
      <c r="J366" s="20">
        <f t="shared" si="13"/>
        <v>8.1241875000000005E-2</v>
      </c>
      <c r="K366" s="191">
        <v>12.8</v>
      </c>
      <c r="L366" s="191">
        <v>1.6</v>
      </c>
      <c r="M366" s="188">
        <v>6403400000</v>
      </c>
      <c r="N366" s="188" t="s">
        <v>6</v>
      </c>
      <c r="P366" s="59">
        <v>0.08</v>
      </c>
      <c r="Q366" s="57" t="s">
        <v>826</v>
      </c>
    </row>
    <row r="367" spans="1:17" ht="39" x14ac:dyDescent="0.2">
      <c r="A367" s="198"/>
      <c r="B367" s="198"/>
      <c r="C367" s="17" t="s">
        <v>839</v>
      </c>
      <c r="D367" s="189"/>
      <c r="E367" s="46">
        <v>51.5</v>
      </c>
      <c r="F367" s="46" t="s">
        <v>159</v>
      </c>
      <c r="G367" s="46">
        <v>34.5</v>
      </c>
      <c r="H367" s="46" t="s">
        <v>159</v>
      </c>
      <c r="I367" s="46">
        <v>52.5</v>
      </c>
      <c r="J367" s="20">
        <f t="shared" si="13"/>
        <v>9.3279374999999998E-2</v>
      </c>
      <c r="K367" s="192"/>
      <c r="L367" s="192"/>
      <c r="M367" s="189"/>
      <c r="N367" s="189"/>
      <c r="P367" s="59"/>
      <c r="Q367" s="57"/>
    </row>
    <row r="368" spans="1:17" ht="39" x14ac:dyDescent="0.2">
      <c r="A368" s="197" t="s">
        <v>781</v>
      </c>
      <c r="B368" s="197" t="s">
        <v>806</v>
      </c>
      <c r="C368" s="17" t="s">
        <v>841</v>
      </c>
      <c r="D368" s="188">
        <v>8</v>
      </c>
      <c r="E368" s="46">
        <v>49.5</v>
      </c>
      <c r="F368" s="46" t="s">
        <v>159</v>
      </c>
      <c r="G368" s="46">
        <v>32.5</v>
      </c>
      <c r="H368" s="46" t="s">
        <v>159</v>
      </c>
      <c r="I368" s="46">
        <v>50.5</v>
      </c>
      <c r="J368" s="20">
        <f t="shared" si="13"/>
        <v>8.1241875000000005E-2</v>
      </c>
      <c r="K368" s="191">
        <v>12.8</v>
      </c>
      <c r="L368" s="191">
        <v>1.6</v>
      </c>
      <c r="M368" s="188">
        <v>6403400000</v>
      </c>
      <c r="N368" s="188" t="s">
        <v>6</v>
      </c>
      <c r="P368" s="59">
        <v>0.08</v>
      </c>
      <c r="Q368" s="57" t="s">
        <v>826</v>
      </c>
    </row>
    <row r="369" spans="1:17" ht="39" x14ac:dyDescent="0.2">
      <c r="A369" s="198"/>
      <c r="B369" s="198"/>
      <c r="C369" s="17" t="s">
        <v>839</v>
      </c>
      <c r="D369" s="189"/>
      <c r="E369" s="46">
        <v>51.5</v>
      </c>
      <c r="F369" s="46" t="s">
        <v>159</v>
      </c>
      <c r="G369" s="46">
        <v>34.5</v>
      </c>
      <c r="H369" s="46" t="s">
        <v>159</v>
      </c>
      <c r="I369" s="46">
        <v>52.5</v>
      </c>
      <c r="J369" s="20">
        <f t="shared" si="13"/>
        <v>9.3279374999999998E-2</v>
      </c>
      <c r="K369" s="192"/>
      <c r="L369" s="192"/>
      <c r="M369" s="189"/>
      <c r="N369" s="189"/>
      <c r="P369" s="59"/>
      <c r="Q369" s="57"/>
    </row>
    <row r="370" spans="1:17" x14ac:dyDescent="0.2">
      <c r="A370" s="197" t="s">
        <v>885</v>
      </c>
      <c r="B370" s="197" t="s">
        <v>886</v>
      </c>
      <c r="C370" s="188" t="s">
        <v>887</v>
      </c>
      <c r="D370" s="188">
        <v>8</v>
      </c>
      <c r="E370" s="232">
        <v>51.5</v>
      </c>
      <c r="F370" s="232" t="s">
        <v>159</v>
      </c>
      <c r="G370" s="232">
        <v>47.5</v>
      </c>
      <c r="H370" s="232" t="s">
        <v>159</v>
      </c>
      <c r="I370" s="232">
        <v>35.5</v>
      </c>
      <c r="J370" s="20">
        <f t="shared" si="13"/>
        <v>8.6841874999999999E-2</v>
      </c>
      <c r="K370" s="191">
        <v>10.176</v>
      </c>
      <c r="L370" s="191">
        <v>1.27</v>
      </c>
      <c r="M370" s="188">
        <v>6403400000</v>
      </c>
      <c r="N370" s="188" t="s">
        <v>6</v>
      </c>
      <c r="P370" s="59"/>
      <c r="Q370" s="57"/>
    </row>
    <row r="371" spans="1:17" x14ac:dyDescent="0.2">
      <c r="A371" s="198"/>
      <c r="B371" s="198"/>
      <c r="C371" s="189"/>
      <c r="D371" s="189"/>
      <c r="E371" s="233"/>
      <c r="F371" s="233"/>
      <c r="G371" s="233"/>
      <c r="H371" s="233"/>
      <c r="I371" s="233"/>
      <c r="J371" s="20">
        <f t="shared" si="13"/>
        <v>0</v>
      </c>
      <c r="K371" s="192"/>
      <c r="L371" s="192"/>
      <c r="M371" s="189"/>
      <c r="N371" s="189"/>
      <c r="P371" s="59"/>
      <c r="Q371" s="57"/>
    </row>
    <row r="372" spans="1:17" ht="39" x14ac:dyDescent="0.2">
      <c r="A372" s="19" t="s">
        <v>832</v>
      </c>
      <c r="B372" s="19" t="s">
        <v>807</v>
      </c>
      <c r="C372" s="17" t="s">
        <v>830</v>
      </c>
      <c r="D372" s="17">
        <v>8</v>
      </c>
      <c r="E372" s="78">
        <v>51.5</v>
      </c>
      <c r="F372" s="17" t="s">
        <v>159</v>
      </c>
      <c r="G372" s="78">
        <v>35.5</v>
      </c>
      <c r="H372" s="17" t="s">
        <v>159</v>
      </c>
      <c r="I372" s="78">
        <v>47.5</v>
      </c>
      <c r="J372" s="20">
        <f t="shared" si="13"/>
        <v>8.6841874999999999E-2</v>
      </c>
      <c r="K372" s="20">
        <v>16</v>
      </c>
      <c r="L372" s="20">
        <v>1.625</v>
      </c>
      <c r="M372" s="17">
        <v>6403400000</v>
      </c>
      <c r="N372" s="17" t="s">
        <v>6</v>
      </c>
      <c r="P372" s="59">
        <v>0.08</v>
      </c>
      <c r="Q372" s="57" t="s">
        <v>826</v>
      </c>
    </row>
    <row r="373" spans="1:17" ht="39" x14ac:dyDescent="0.2">
      <c r="A373" s="19" t="s">
        <v>833</v>
      </c>
      <c r="B373" s="19" t="s">
        <v>834</v>
      </c>
      <c r="C373" s="17" t="s">
        <v>835</v>
      </c>
      <c r="D373" s="17">
        <v>8</v>
      </c>
      <c r="E373" s="78">
        <v>49.5</v>
      </c>
      <c r="F373" s="17" t="s">
        <v>159</v>
      </c>
      <c r="G373" s="78">
        <v>33.5</v>
      </c>
      <c r="H373" s="17" t="s">
        <v>159</v>
      </c>
      <c r="I373" s="78">
        <v>43.5</v>
      </c>
      <c r="J373" s="20">
        <f t="shared" si="13"/>
        <v>7.2133875E-2</v>
      </c>
      <c r="K373" s="20">
        <v>14</v>
      </c>
      <c r="L373" s="20">
        <v>1.375</v>
      </c>
      <c r="M373" s="17">
        <v>6403400000</v>
      </c>
      <c r="N373" s="17" t="s">
        <v>6</v>
      </c>
      <c r="P373" s="59">
        <v>0.08</v>
      </c>
      <c r="Q373" s="57" t="s">
        <v>826</v>
      </c>
    </row>
    <row r="374" spans="1:17" x14ac:dyDescent="0.2">
      <c r="A374" s="19" t="s">
        <v>457</v>
      </c>
      <c r="B374" s="19" t="s">
        <v>621</v>
      </c>
      <c r="C374" s="17" t="s">
        <v>9</v>
      </c>
      <c r="D374" s="17">
        <v>50</v>
      </c>
      <c r="E374" s="17">
        <v>50</v>
      </c>
      <c r="F374" s="17" t="s">
        <v>159</v>
      </c>
      <c r="G374" s="17">
        <v>32</v>
      </c>
      <c r="H374" s="17" t="s">
        <v>159</v>
      </c>
      <c r="I374" s="17">
        <v>70</v>
      </c>
      <c r="J374" s="20">
        <f t="shared" si="13"/>
        <v>0.112</v>
      </c>
      <c r="K374" s="20">
        <v>18</v>
      </c>
      <c r="L374" s="20">
        <v>0.3</v>
      </c>
      <c r="M374" s="17">
        <v>6117100000</v>
      </c>
      <c r="N374" s="17" t="s">
        <v>6</v>
      </c>
      <c r="O374" s="3"/>
      <c r="P374" s="59">
        <v>0.12</v>
      </c>
      <c r="Q374" s="57">
        <v>0.01</v>
      </c>
    </row>
    <row r="375" spans="1:17" x14ac:dyDescent="0.2">
      <c r="A375" s="19" t="s">
        <v>458</v>
      </c>
      <c r="B375" s="19" t="s">
        <v>505</v>
      </c>
      <c r="C375" s="17" t="s">
        <v>9</v>
      </c>
      <c r="D375" s="17">
        <v>100</v>
      </c>
      <c r="E375" s="17">
        <v>60</v>
      </c>
      <c r="F375" s="17" t="s">
        <v>159</v>
      </c>
      <c r="G375" s="17">
        <v>40</v>
      </c>
      <c r="H375" s="17" t="s">
        <v>159</v>
      </c>
      <c r="I375" s="17">
        <v>66</v>
      </c>
      <c r="J375" s="20">
        <f t="shared" si="13"/>
        <v>0.15840000000000001</v>
      </c>
      <c r="K375" s="20">
        <v>22</v>
      </c>
      <c r="L375" s="20">
        <v>0.19</v>
      </c>
      <c r="M375" s="17">
        <v>6117100000</v>
      </c>
      <c r="N375" s="17" t="s">
        <v>6</v>
      </c>
      <c r="O375" s="3"/>
      <c r="P375" s="59">
        <v>0.12</v>
      </c>
      <c r="Q375" s="57">
        <v>0.01</v>
      </c>
    </row>
    <row r="376" spans="1:17" x14ac:dyDescent="0.2">
      <c r="A376" s="19" t="s">
        <v>459</v>
      </c>
      <c r="B376" s="19" t="s">
        <v>622</v>
      </c>
      <c r="C376" s="17" t="s">
        <v>9</v>
      </c>
      <c r="D376" s="17">
        <v>50</v>
      </c>
      <c r="E376" s="17">
        <v>50</v>
      </c>
      <c r="F376" s="17" t="s">
        <v>159</v>
      </c>
      <c r="G376" s="17">
        <v>32</v>
      </c>
      <c r="H376" s="17" t="s">
        <v>159</v>
      </c>
      <c r="I376" s="17">
        <v>70</v>
      </c>
      <c r="J376" s="20">
        <f t="shared" si="13"/>
        <v>0.112</v>
      </c>
      <c r="K376" s="20">
        <v>18</v>
      </c>
      <c r="L376" s="20">
        <v>0.3</v>
      </c>
      <c r="M376" s="17">
        <v>6117100000</v>
      </c>
      <c r="N376" s="17" t="s">
        <v>6</v>
      </c>
      <c r="O376" s="3"/>
      <c r="P376" s="59">
        <v>0.12</v>
      </c>
      <c r="Q376" s="57">
        <v>0.01</v>
      </c>
    </row>
    <row r="377" spans="1:17" x14ac:dyDescent="0.2">
      <c r="A377" s="197" t="s">
        <v>460</v>
      </c>
      <c r="B377" s="197" t="s">
        <v>623</v>
      </c>
      <c r="C377" s="17" t="s">
        <v>528</v>
      </c>
      <c r="D377" s="188">
        <v>100</v>
      </c>
      <c r="E377" s="17">
        <v>60</v>
      </c>
      <c r="F377" s="17" t="s">
        <v>159</v>
      </c>
      <c r="G377" s="17">
        <v>40</v>
      </c>
      <c r="H377" s="17" t="s">
        <v>159</v>
      </c>
      <c r="I377" s="17">
        <v>28</v>
      </c>
      <c r="J377" s="20">
        <f t="shared" si="13"/>
        <v>6.7199999999999996E-2</v>
      </c>
      <c r="K377" s="20">
        <v>8</v>
      </c>
      <c r="L377" s="20">
        <v>0.06</v>
      </c>
      <c r="M377" s="188">
        <v>6117100000</v>
      </c>
      <c r="N377" s="188" t="s">
        <v>6</v>
      </c>
      <c r="O377" s="3"/>
      <c r="P377" s="59">
        <v>0.12</v>
      </c>
      <c r="Q377" s="57">
        <v>0.01</v>
      </c>
    </row>
    <row r="378" spans="1:17" x14ac:dyDescent="0.2">
      <c r="A378" s="198"/>
      <c r="B378" s="198"/>
      <c r="C378" s="17" t="s">
        <v>527</v>
      </c>
      <c r="D378" s="189"/>
      <c r="E378" s="17">
        <v>60</v>
      </c>
      <c r="F378" s="17" t="s">
        <v>159</v>
      </c>
      <c r="G378" s="17">
        <v>40</v>
      </c>
      <c r="H378" s="17" t="s">
        <v>159</v>
      </c>
      <c r="I378" s="17">
        <v>33</v>
      </c>
      <c r="J378" s="20">
        <f t="shared" si="13"/>
        <v>7.9200000000000007E-2</v>
      </c>
      <c r="K378" s="20">
        <v>9</v>
      </c>
      <c r="L378" s="20">
        <v>7.0000000000000007E-2</v>
      </c>
      <c r="M378" s="189"/>
      <c r="N378" s="189"/>
      <c r="O378" s="3"/>
      <c r="P378" s="61"/>
      <c r="Q378" s="57">
        <v>0.01</v>
      </c>
    </row>
    <row r="379" spans="1:17" x14ac:dyDescent="0.2">
      <c r="A379" s="19" t="s">
        <v>461</v>
      </c>
      <c r="B379" s="19" t="s">
        <v>506</v>
      </c>
      <c r="C379" s="17" t="s">
        <v>9</v>
      </c>
      <c r="D379" s="17">
        <v>150</v>
      </c>
      <c r="E379" s="17">
        <v>60</v>
      </c>
      <c r="F379" s="17" t="s">
        <v>159</v>
      </c>
      <c r="G379" s="17">
        <v>40</v>
      </c>
      <c r="H379" s="17" t="s">
        <v>159</v>
      </c>
      <c r="I379" s="17">
        <v>40</v>
      </c>
      <c r="J379" s="20">
        <f t="shared" si="13"/>
        <v>9.6000000000000002E-2</v>
      </c>
      <c r="K379" s="20">
        <v>13</v>
      </c>
      <c r="L379" s="20">
        <v>7.3333333333333334E-2</v>
      </c>
      <c r="M379" s="17">
        <v>6505009090</v>
      </c>
      <c r="N379" s="17" t="s">
        <v>6</v>
      </c>
      <c r="O379" s="3"/>
      <c r="P379" s="62">
        <v>2.7E-2</v>
      </c>
      <c r="Q379" s="57">
        <v>0.01</v>
      </c>
    </row>
    <row r="380" spans="1:17" x14ac:dyDescent="0.2">
      <c r="A380" s="19" t="s">
        <v>462</v>
      </c>
      <c r="B380" s="19" t="s">
        <v>507</v>
      </c>
      <c r="C380" s="17" t="s">
        <v>9</v>
      </c>
      <c r="D380" s="17">
        <v>150</v>
      </c>
      <c r="E380" s="17">
        <v>60</v>
      </c>
      <c r="F380" s="17" t="s">
        <v>159</v>
      </c>
      <c r="G380" s="17">
        <v>40</v>
      </c>
      <c r="H380" s="17" t="s">
        <v>159</v>
      </c>
      <c r="I380" s="17">
        <v>76</v>
      </c>
      <c r="J380" s="20">
        <f t="shared" si="13"/>
        <v>0.18240000000000001</v>
      </c>
      <c r="K380" s="20">
        <v>18</v>
      </c>
      <c r="L380" s="20">
        <v>0.1</v>
      </c>
      <c r="M380" s="17">
        <v>6505009090</v>
      </c>
      <c r="N380" s="17" t="s">
        <v>6</v>
      </c>
      <c r="O380" s="3"/>
      <c r="P380" s="62">
        <v>2.7E-2</v>
      </c>
      <c r="Q380" s="57">
        <v>0.01</v>
      </c>
    </row>
    <row r="381" spans="1:17" x14ac:dyDescent="0.2">
      <c r="A381" s="19" t="s">
        <v>463</v>
      </c>
      <c r="B381" s="19" t="s">
        <v>624</v>
      </c>
      <c r="C381" s="17" t="s">
        <v>9</v>
      </c>
      <c r="D381" s="17">
        <v>150</v>
      </c>
      <c r="E381" s="17">
        <v>60</v>
      </c>
      <c r="F381" s="17" t="s">
        <v>159</v>
      </c>
      <c r="G381" s="17">
        <v>40</v>
      </c>
      <c r="H381" s="17" t="s">
        <v>159</v>
      </c>
      <c r="I381" s="17">
        <v>54</v>
      </c>
      <c r="J381" s="20">
        <f t="shared" si="13"/>
        <v>0.12959999999999999</v>
      </c>
      <c r="K381" s="20">
        <v>16</v>
      </c>
      <c r="L381" s="20">
        <v>9.3333333333333338E-2</v>
      </c>
      <c r="M381" s="17">
        <v>6505009090</v>
      </c>
      <c r="N381" s="17" t="s">
        <v>6</v>
      </c>
      <c r="O381" s="3"/>
      <c r="P381" s="62">
        <v>2.7E-2</v>
      </c>
      <c r="Q381" s="57">
        <v>0.01</v>
      </c>
    </row>
    <row r="382" spans="1:17" x14ac:dyDescent="0.2">
      <c r="A382" s="19" t="s">
        <v>533</v>
      </c>
      <c r="B382" s="19" t="s">
        <v>543</v>
      </c>
      <c r="C382" s="17" t="s">
        <v>9</v>
      </c>
      <c r="D382" s="17">
        <v>100</v>
      </c>
      <c r="E382" s="17">
        <v>60</v>
      </c>
      <c r="F382" s="17" t="s">
        <v>159</v>
      </c>
      <c r="G382" s="17">
        <v>40</v>
      </c>
      <c r="H382" s="17" t="s">
        <v>159</v>
      </c>
      <c r="I382" s="17">
        <v>48</v>
      </c>
      <c r="J382" s="20">
        <f t="shared" si="13"/>
        <v>0.1152</v>
      </c>
      <c r="K382" s="20">
        <v>11</v>
      </c>
      <c r="L382" s="17">
        <f>9/100</f>
        <v>0.09</v>
      </c>
      <c r="M382" s="17">
        <v>6505009090</v>
      </c>
      <c r="N382" s="17" t="s">
        <v>6</v>
      </c>
      <c r="O382" s="3"/>
      <c r="P382" s="62">
        <v>2.7E-2</v>
      </c>
      <c r="Q382" s="57">
        <v>0.01</v>
      </c>
    </row>
    <row r="383" spans="1:17" x14ac:dyDescent="0.2">
      <c r="A383" s="19" t="s">
        <v>534</v>
      </c>
      <c r="B383" s="19" t="s">
        <v>625</v>
      </c>
      <c r="C383" s="17" t="s">
        <v>7</v>
      </c>
      <c r="D383" s="17">
        <v>100</v>
      </c>
      <c r="E383" s="17">
        <v>60</v>
      </c>
      <c r="F383" s="17" t="s">
        <v>159</v>
      </c>
      <c r="G383" s="17">
        <v>40</v>
      </c>
      <c r="H383" s="17" t="s">
        <v>159</v>
      </c>
      <c r="I383" s="17">
        <v>50</v>
      </c>
      <c r="J383" s="20">
        <f t="shared" si="13"/>
        <v>0.12</v>
      </c>
      <c r="K383" s="20">
        <v>14</v>
      </c>
      <c r="L383" s="17">
        <f>12/100</f>
        <v>0.12</v>
      </c>
      <c r="M383" s="17">
        <v>6505009090</v>
      </c>
      <c r="N383" s="17" t="s">
        <v>6</v>
      </c>
      <c r="O383" s="3"/>
      <c r="P383" s="62">
        <v>2.7E-2</v>
      </c>
      <c r="Q383" s="57">
        <v>0.01</v>
      </c>
    </row>
    <row r="384" spans="1:17" x14ac:dyDescent="0.2">
      <c r="A384" s="19" t="s">
        <v>535</v>
      </c>
      <c r="B384" s="19" t="s">
        <v>544</v>
      </c>
      <c r="C384" s="17" t="s">
        <v>9</v>
      </c>
      <c r="D384" s="17">
        <v>150</v>
      </c>
      <c r="E384" s="17">
        <v>60</v>
      </c>
      <c r="F384" s="17" t="s">
        <v>159</v>
      </c>
      <c r="G384" s="17">
        <v>30</v>
      </c>
      <c r="H384" s="17" t="s">
        <v>159</v>
      </c>
      <c r="I384" s="17">
        <v>50</v>
      </c>
      <c r="J384" s="20">
        <f t="shared" si="13"/>
        <v>0.09</v>
      </c>
      <c r="K384" s="20">
        <v>12</v>
      </c>
      <c r="L384" s="46">
        <f>10/150</f>
        <v>6.6666666666666666E-2</v>
      </c>
      <c r="M384" s="17">
        <v>6505009090</v>
      </c>
      <c r="N384" s="17" t="s">
        <v>6</v>
      </c>
      <c r="O384" s="3"/>
      <c r="P384" s="62">
        <v>2.7E-2</v>
      </c>
      <c r="Q384" s="57">
        <v>0.01</v>
      </c>
    </row>
    <row r="385" spans="1:18" x14ac:dyDescent="0.2">
      <c r="A385" s="19" t="s">
        <v>536</v>
      </c>
      <c r="B385" s="19" t="s">
        <v>545</v>
      </c>
      <c r="C385" s="17" t="s">
        <v>9</v>
      </c>
      <c r="D385" s="17">
        <v>100</v>
      </c>
      <c r="E385" s="17">
        <v>60</v>
      </c>
      <c r="F385" s="17" t="s">
        <v>159</v>
      </c>
      <c r="G385" s="17">
        <v>40</v>
      </c>
      <c r="H385" s="17" t="s">
        <v>159</v>
      </c>
      <c r="I385" s="17">
        <v>64</v>
      </c>
      <c r="J385" s="20">
        <f t="shared" si="13"/>
        <v>0.15359999999999999</v>
      </c>
      <c r="K385" s="20">
        <v>19</v>
      </c>
      <c r="L385" s="17">
        <f>16/100</f>
        <v>0.16</v>
      </c>
      <c r="M385" s="17">
        <v>6117100000</v>
      </c>
      <c r="N385" s="17" t="s">
        <v>6</v>
      </c>
      <c r="O385" s="3"/>
      <c r="P385" s="59">
        <v>0.12</v>
      </c>
      <c r="Q385" s="57">
        <v>0.01</v>
      </c>
    </row>
    <row r="386" spans="1:18" x14ac:dyDescent="0.2">
      <c r="A386" s="197" t="s">
        <v>537</v>
      </c>
      <c r="B386" s="197" t="s">
        <v>561</v>
      </c>
      <c r="C386" s="188" t="s">
        <v>9</v>
      </c>
      <c r="D386" s="188">
        <v>25</v>
      </c>
      <c r="E386" s="188">
        <v>60</v>
      </c>
      <c r="F386" s="188" t="s">
        <v>159</v>
      </c>
      <c r="G386" s="188">
        <v>40</v>
      </c>
      <c r="H386" s="188" t="s">
        <v>159</v>
      </c>
      <c r="I386" s="188">
        <v>75</v>
      </c>
      <c r="J386" s="188">
        <v>0.12</v>
      </c>
      <c r="K386" s="191">
        <v>22</v>
      </c>
      <c r="L386" s="188">
        <f>19/50</f>
        <v>0.38</v>
      </c>
      <c r="M386" s="5">
        <v>6117100000</v>
      </c>
      <c r="N386" s="188" t="s">
        <v>6</v>
      </c>
      <c r="O386" s="3"/>
      <c r="P386" s="59">
        <v>0.12</v>
      </c>
      <c r="Q386" s="57">
        <v>0.01</v>
      </c>
    </row>
    <row r="387" spans="1:18" x14ac:dyDescent="0.2">
      <c r="A387" s="198"/>
      <c r="B387" s="198"/>
      <c r="C387" s="189"/>
      <c r="D387" s="189"/>
      <c r="E387" s="189"/>
      <c r="F387" s="189"/>
      <c r="G387" s="189"/>
      <c r="H387" s="189"/>
      <c r="I387" s="189"/>
      <c r="J387" s="189"/>
      <c r="K387" s="192"/>
      <c r="L387" s="189"/>
      <c r="M387" s="17">
        <v>6505009090</v>
      </c>
      <c r="N387" s="189"/>
      <c r="O387" s="3"/>
      <c r="P387" s="62">
        <v>2.7E-2</v>
      </c>
      <c r="Q387" s="57">
        <v>0.01</v>
      </c>
    </row>
    <row r="388" spans="1:18" x14ac:dyDescent="0.2">
      <c r="A388" s="19" t="s">
        <v>538</v>
      </c>
      <c r="B388" s="19" t="s">
        <v>546</v>
      </c>
      <c r="C388" s="17" t="s">
        <v>5</v>
      </c>
      <c r="D388" s="17">
        <v>100</v>
      </c>
      <c r="E388" s="17">
        <v>60</v>
      </c>
      <c r="F388" s="17" t="s">
        <v>159</v>
      </c>
      <c r="G388" s="17">
        <v>40</v>
      </c>
      <c r="H388" s="17" t="s">
        <v>159</v>
      </c>
      <c r="I388" s="17">
        <v>45</v>
      </c>
      <c r="J388" s="20">
        <f>+E388*G388*I388/1000000</f>
        <v>0.108</v>
      </c>
      <c r="K388" s="20">
        <v>14</v>
      </c>
      <c r="L388" s="17">
        <f>12/100</f>
        <v>0.12</v>
      </c>
      <c r="M388" s="17">
        <v>6116930000</v>
      </c>
      <c r="N388" s="17" t="s">
        <v>6</v>
      </c>
      <c r="O388" s="3"/>
      <c r="P388" s="59">
        <v>0.12</v>
      </c>
      <c r="Q388" s="57">
        <v>0.01</v>
      </c>
      <c r="R388" s="3">
        <v>8.9</v>
      </c>
    </row>
    <row r="389" spans="1:18" x14ac:dyDescent="0.2">
      <c r="A389" s="19" t="s">
        <v>539</v>
      </c>
      <c r="B389" s="19" t="s">
        <v>626</v>
      </c>
      <c r="C389" s="17" t="s">
        <v>5</v>
      </c>
      <c r="D389" s="17">
        <v>100</v>
      </c>
      <c r="E389" s="17">
        <v>60</v>
      </c>
      <c r="F389" s="17" t="s">
        <v>159</v>
      </c>
      <c r="G389" s="17">
        <v>40</v>
      </c>
      <c r="H389" s="17" t="s">
        <v>159</v>
      </c>
      <c r="I389" s="17">
        <v>40</v>
      </c>
      <c r="J389" s="20">
        <f>+E389*G389*I389/1000000</f>
        <v>9.6000000000000002E-2</v>
      </c>
      <c r="K389" s="20">
        <v>10</v>
      </c>
      <c r="L389" s="17">
        <f>8/100</f>
        <v>0.08</v>
      </c>
      <c r="M389" s="17">
        <v>6216000000</v>
      </c>
      <c r="N389" s="17" t="s">
        <v>6</v>
      </c>
      <c r="O389" s="3"/>
      <c r="P389" s="62">
        <v>7.5999999999999998E-2</v>
      </c>
      <c r="Q389" s="57">
        <v>0.01</v>
      </c>
      <c r="R389" s="3">
        <v>7.6</v>
      </c>
    </row>
    <row r="390" spans="1:18" x14ac:dyDescent="0.2">
      <c r="A390" s="19" t="s">
        <v>540</v>
      </c>
      <c r="B390" s="19" t="s">
        <v>627</v>
      </c>
      <c r="C390" s="17" t="s">
        <v>5</v>
      </c>
      <c r="D390" s="17">
        <v>100</v>
      </c>
      <c r="E390" s="17">
        <v>60</v>
      </c>
      <c r="F390" s="17" t="s">
        <v>159</v>
      </c>
      <c r="G390" s="17">
        <v>40</v>
      </c>
      <c r="H390" s="17" t="s">
        <v>159</v>
      </c>
      <c r="I390" s="17">
        <v>40</v>
      </c>
      <c r="J390" s="20">
        <f>+E390*G390*I390/1000000</f>
        <v>9.6000000000000002E-2</v>
      </c>
      <c r="K390" s="20">
        <v>12</v>
      </c>
      <c r="L390" s="17">
        <f>10/100</f>
        <v>0.1</v>
      </c>
      <c r="M390" s="17">
        <v>6116990000</v>
      </c>
      <c r="N390" s="17" t="s">
        <v>6</v>
      </c>
      <c r="O390" s="3"/>
      <c r="P390" s="62">
        <v>8.8999999999999996E-2</v>
      </c>
      <c r="Q390" s="57">
        <v>0.01</v>
      </c>
      <c r="R390" s="3">
        <v>8.9</v>
      </c>
    </row>
    <row r="391" spans="1:18" x14ac:dyDescent="0.2">
      <c r="A391" s="197" t="s">
        <v>541</v>
      </c>
      <c r="B391" s="197" t="s">
        <v>628</v>
      </c>
      <c r="C391" s="188" t="s">
        <v>9</v>
      </c>
      <c r="D391" s="188">
        <v>50</v>
      </c>
      <c r="E391" s="188">
        <v>60</v>
      </c>
      <c r="F391" s="188" t="s">
        <v>159</v>
      </c>
      <c r="G391" s="188">
        <v>40</v>
      </c>
      <c r="H391" s="188" t="s">
        <v>159</v>
      </c>
      <c r="I391" s="188">
        <v>40</v>
      </c>
      <c r="J391" s="191">
        <f>+E391*G391*I391/1000000</f>
        <v>9.6000000000000002E-2</v>
      </c>
      <c r="K391" s="230">
        <v>12</v>
      </c>
      <c r="L391" s="188">
        <f>10/50</f>
        <v>0.2</v>
      </c>
      <c r="M391" s="5">
        <v>6117100000</v>
      </c>
      <c r="N391" s="188" t="s">
        <v>6</v>
      </c>
      <c r="O391" s="3"/>
      <c r="P391" s="59">
        <v>0.12</v>
      </c>
      <c r="Q391" s="57">
        <v>0.01</v>
      </c>
      <c r="R391" s="3">
        <v>12</v>
      </c>
    </row>
    <row r="392" spans="1:18" x14ac:dyDescent="0.2">
      <c r="A392" s="204"/>
      <c r="B392" s="204"/>
      <c r="C392" s="194"/>
      <c r="D392" s="194"/>
      <c r="E392" s="194"/>
      <c r="F392" s="194"/>
      <c r="G392" s="194"/>
      <c r="H392" s="194"/>
      <c r="I392" s="194"/>
      <c r="J392" s="193"/>
      <c r="K392" s="231"/>
      <c r="L392" s="194"/>
      <c r="M392" s="17">
        <v>6116930000</v>
      </c>
      <c r="N392" s="194"/>
      <c r="O392" s="3"/>
      <c r="P392" s="62">
        <v>8.8999999999999996E-2</v>
      </c>
      <c r="Q392" s="57">
        <v>0.01</v>
      </c>
      <c r="R392" s="3">
        <v>8.9</v>
      </c>
    </row>
    <row r="393" spans="1:18" x14ac:dyDescent="0.2">
      <c r="A393" s="19" t="s">
        <v>542</v>
      </c>
      <c r="B393" s="19" t="s">
        <v>629</v>
      </c>
      <c r="C393" s="17" t="s">
        <v>9</v>
      </c>
      <c r="D393" s="17">
        <v>50</v>
      </c>
      <c r="E393" s="17">
        <v>54</v>
      </c>
      <c r="F393" s="17" t="s">
        <v>159</v>
      </c>
      <c r="G393" s="17">
        <v>32</v>
      </c>
      <c r="H393" s="17" t="s">
        <v>159</v>
      </c>
      <c r="I393" s="17">
        <v>68</v>
      </c>
      <c r="J393" s="20">
        <f t="shared" ref="J393:J424" si="14">+E393*G393*I393/1000000</f>
        <v>0.117504</v>
      </c>
      <c r="K393" s="20">
        <v>16</v>
      </c>
      <c r="L393" s="17">
        <f>14/50</f>
        <v>0.28000000000000003</v>
      </c>
      <c r="M393" s="17">
        <v>6117100000</v>
      </c>
      <c r="N393" s="17" t="s">
        <v>6</v>
      </c>
      <c r="O393" s="3"/>
      <c r="P393" s="59">
        <v>0.12</v>
      </c>
      <c r="Q393" s="57">
        <v>0.01</v>
      </c>
    </row>
    <row r="394" spans="1:18" x14ac:dyDescent="0.2">
      <c r="A394" s="19" t="s">
        <v>758</v>
      </c>
      <c r="B394" s="19" t="s">
        <v>759</v>
      </c>
      <c r="C394" s="17" t="s">
        <v>9</v>
      </c>
      <c r="D394" s="17">
        <v>150</v>
      </c>
      <c r="E394" s="17">
        <v>60</v>
      </c>
      <c r="F394" s="17" t="s">
        <v>159</v>
      </c>
      <c r="G394" s="17">
        <v>40</v>
      </c>
      <c r="H394" s="17" t="s">
        <v>159</v>
      </c>
      <c r="I394" s="17">
        <v>33</v>
      </c>
      <c r="J394" s="20">
        <f t="shared" si="14"/>
        <v>7.9200000000000007E-2</v>
      </c>
      <c r="K394" s="20">
        <v>11</v>
      </c>
      <c r="L394" s="20">
        <v>0.06</v>
      </c>
      <c r="M394" s="17">
        <v>6505009090</v>
      </c>
      <c r="N394" s="17" t="s">
        <v>6</v>
      </c>
      <c r="O394" s="3"/>
      <c r="P394" s="62">
        <v>2.7E-2</v>
      </c>
      <c r="Q394" s="57">
        <v>0.01</v>
      </c>
    </row>
    <row r="395" spans="1:18" x14ac:dyDescent="0.2">
      <c r="A395" s="19" t="s">
        <v>760</v>
      </c>
      <c r="B395" s="19" t="s">
        <v>761</v>
      </c>
      <c r="C395" s="17" t="s">
        <v>9</v>
      </c>
      <c r="D395" s="17">
        <v>150</v>
      </c>
      <c r="E395" s="17">
        <v>60</v>
      </c>
      <c r="F395" s="17" t="s">
        <v>159</v>
      </c>
      <c r="G395" s="17">
        <v>40</v>
      </c>
      <c r="H395" s="17" t="s">
        <v>159</v>
      </c>
      <c r="I395" s="17">
        <v>62</v>
      </c>
      <c r="J395" s="20">
        <f t="shared" si="14"/>
        <v>0.14879999999999999</v>
      </c>
      <c r="K395" s="20">
        <v>14</v>
      </c>
      <c r="L395" s="20">
        <v>0.08</v>
      </c>
      <c r="M395" s="17">
        <v>6505009090</v>
      </c>
      <c r="N395" s="17" t="s">
        <v>6</v>
      </c>
      <c r="O395" s="3"/>
      <c r="P395" s="62">
        <v>2.7E-2</v>
      </c>
      <c r="Q395" s="57">
        <v>0.01</v>
      </c>
    </row>
    <row r="396" spans="1:18" x14ac:dyDescent="0.2">
      <c r="A396" s="19" t="s">
        <v>762</v>
      </c>
      <c r="B396" s="19" t="s">
        <v>763</v>
      </c>
      <c r="C396" s="17" t="s">
        <v>9</v>
      </c>
      <c r="D396" s="17">
        <v>150</v>
      </c>
      <c r="E396" s="17">
        <v>60</v>
      </c>
      <c r="F396" s="17" t="s">
        <v>159</v>
      </c>
      <c r="G396" s="17">
        <v>40</v>
      </c>
      <c r="H396" s="17" t="s">
        <v>159</v>
      </c>
      <c r="I396" s="17">
        <v>52</v>
      </c>
      <c r="J396" s="20">
        <f t="shared" si="14"/>
        <v>0.12479999999999999</v>
      </c>
      <c r="K396" s="20">
        <v>14</v>
      </c>
      <c r="L396" s="20">
        <v>0.08</v>
      </c>
      <c r="M396" s="17">
        <v>6505009090</v>
      </c>
      <c r="N396" s="17" t="s">
        <v>6</v>
      </c>
      <c r="O396" s="3"/>
      <c r="P396" s="62">
        <v>2.7E-2</v>
      </c>
      <c r="Q396" s="57">
        <v>0.01</v>
      </c>
    </row>
    <row r="397" spans="1:18" x14ac:dyDescent="0.2">
      <c r="A397" s="19" t="s">
        <v>764</v>
      </c>
      <c r="B397" s="19" t="s">
        <v>765</v>
      </c>
      <c r="C397" s="17" t="s">
        <v>9</v>
      </c>
      <c r="D397" s="17">
        <v>150</v>
      </c>
      <c r="E397" s="17">
        <v>60</v>
      </c>
      <c r="F397" s="17" t="s">
        <v>159</v>
      </c>
      <c r="G397" s="17">
        <v>40</v>
      </c>
      <c r="H397" s="17" t="s">
        <v>159</v>
      </c>
      <c r="I397" s="17">
        <v>60</v>
      </c>
      <c r="J397" s="20">
        <f t="shared" si="14"/>
        <v>0.14399999999999999</v>
      </c>
      <c r="K397" s="20">
        <v>14</v>
      </c>
      <c r="L397" s="20">
        <v>0.08</v>
      </c>
      <c r="M397" s="17">
        <v>6505009090</v>
      </c>
      <c r="N397" s="17" t="s">
        <v>6</v>
      </c>
      <c r="O397" s="3"/>
      <c r="P397" s="62">
        <v>2.7E-2</v>
      </c>
      <c r="Q397" s="57">
        <v>0.01</v>
      </c>
    </row>
    <row r="398" spans="1:18" x14ac:dyDescent="0.2">
      <c r="A398" s="19" t="s">
        <v>766</v>
      </c>
      <c r="B398" s="19" t="s">
        <v>767</v>
      </c>
      <c r="C398" s="17" t="s">
        <v>9</v>
      </c>
      <c r="D398" s="17">
        <v>100</v>
      </c>
      <c r="E398" s="17">
        <v>60</v>
      </c>
      <c r="F398" s="17" t="s">
        <v>159</v>
      </c>
      <c r="G398" s="17">
        <v>40</v>
      </c>
      <c r="H398" s="17" t="s">
        <v>159</v>
      </c>
      <c r="I398" s="17">
        <v>36</v>
      </c>
      <c r="J398" s="20">
        <f t="shared" si="14"/>
        <v>8.6400000000000005E-2</v>
      </c>
      <c r="K398" s="20">
        <v>12</v>
      </c>
      <c r="L398" s="20">
        <v>0.1</v>
      </c>
      <c r="M398" s="17">
        <v>6505009090</v>
      </c>
      <c r="N398" s="17" t="s">
        <v>6</v>
      </c>
      <c r="O398" s="3"/>
      <c r="P398" s="62">
        <v>2.7E-2</v>
      </c>
      <c r="Q398" s="57">
        <v>0.01</v>
      </c>
    </row>
    <row r="399" spans="1:18" x14ac:dyDescent="0.2">
      <c r="A399" s="19" t="s">
        <v>768</v>
      </c>
      <c r="B399" s="19" t="s">
        <v>769</v>
      </c>
      <c r="C399" s="17" t="s">
        <v>9</v>
      </c>
      <c r="D399" s="17">
        <v>50</v>
      </c>
      <c r="E399" s="17">
        <v>55</v>
      </c>
      <c r="F399" s="17" t="s">
        <v>159</v>
      </c>
      <c r="G399" s="17">
        <v>40</v>
      </c>
      <c r="H399" s="17" t="s">
        <v>159</v>
      </c>
      <c r="I399" s="17">
        <v>50</v>
      </c>
      <c r="J399" s="20">
        <f t="shared" si="14"/>
        <v>0.11</v>
      </c>
      <c r="K399" s="20">
        <v>23</v>
      </c>
      <c r="L399" s="20">
        <v>0.4</v>
      </c>
      <c r="M399" s="17">
        <v>6117100000</v>
      </c>
      <c r="N399" s="17" t="s">
        <v>6</v>
      </c>
      <c r="O399" s="3"/>
      <c r="P399" s="59">
        <v>0.12</v>
      </c>
      <c r="Q399" s="57">
        <v>0.01</v>
      </c>
    </row>
    <row r="400" spans="1:18" x14ac:dyDescent="0.2">
      <c r="A400" s="19" t="s">
        <v>770</v>
      </c>
      <c r="B400" s="19" t="s">
        <v>771</v>
      </c>
      <c r="C400" s="17" t="s">
        <v>9</v>
      </c>
      <c r="D400" s="17">
        <v>150</v>
      </c>
      <c r="E400" s="17">
        <v>60</v>
      </c>
      <c r="F400" s="17" t="s">
        <v>159</v>
      </c>
      <c r="G400" s="17">
        <v>40</v>
      </c>
      <c r="H400" s="17" t="s">
        <v>159</v>
      </c>
      <c r="I400" s="17">
        <v>45</v>
      </c>
      <c r="J400" s="20">
        <f t="shared" si="14"/>
        <v>0.108</v>
      </c>
      <c r="K400" s="20">
        <v>12</v>
      </c>
      <c r="L400" s="20">
        <v>6.6666666666666666E-2</v>
      </c>
      <c r="M400" s="17">
        <v>6505009090</v>
      </c>
      <c r="N400" s="17" t="s">
        <v>6</v>
      </c>
      <c r="O400" s="3"/>
      <c r="P400" s="62">
        <v>2.7E-2</v>
      </c>
      <c r="Q400" s="57">
        <v>0.01</v>
      </c>
    </row>
    <row r="401" spans="1:17" x14ac:dyDescent="0.2">
      <c r="A401" s="82" t="s">
        <v>849</v>
      </c>
      <c r="B401" s="82" t="s">
        <v>850</v>
      </c>
      <c r="C401" s="17" t="s">
        <v>9</v>
      </c>
      <c r="D401" s="81">
        <v>100</v>
      </c>
      <c r="E401" s="17">
        <v>60</v>
      </c>
      <c r="F401" s="17" t="s">
        <v>159</v>
      </c>
      <c r="G401" s="17">
        <v>40</v>
      </c>
      <c r="H401" s="17" t="s">
        <v>159</v>
      </c>
      <c r="I401" s="17">
        <v>54</v>
      </c>
      <c r="J401" s="20">
        <f t="shared" si="14"/>
        <v>0.12959999999999999</v>
      </c>
      <c r="K401" s="20">
        <v>14.9</v>
      </c>
      <c r="L401" s="20">
        <v>0.14899999999999999</v>
      </c>
      <c r="M401" s="17">
        <v>6117100000</v>
      </c>
      <c r="N401" s="17" t="s">
        <v>6</v>
      </c>
      <c r="O401" s="3"/>
      <c r="P401" s="83"/>
      <c r="Q401" s="57"/>
    </row>
    <row r="402" spans="1:17" x14ac:dyDescent="0.2">
      <c r="A402" s="197" t="s">
        <v>727</v>
      </c>
      <c r="B402" s="197" t="s">
        <v>728</v>
      </c>
      <c r="C402" s="17" t="s">
        <v>7</v>
      </c>
      <c r="D402" s="188">
        <v>8</v>
      </c>
      <c r="E402" s="17">
        <v>60</v>
      </c>
      <c r="F402" s="17" t="s">
        <v>159</v>
      </c>
      <c r="G402" s="17">
        <v>40</v>
      </c>
      <c r="H402" s="17" t="s">
        <v>159</v>
      </c>
      <c r="I402" s="17">
        <v>24</v>
      </c>
      <c r="J402" s="20">
        <f t="shared" si="14"/>
        <v>5.7599999999999998E-2</v>
      </c>
      <c r="K402" s="20">
        <v>12.5</v>
      </c>
      <c r="L402" s="20">
        <f>11.5/8</f>
        <v>1.4375</v>
      </c>
      <c r="M402" s="188">
        <v>6210400000</v>
      </c>
      <c r="N402" s="188" t="s">
        <v>6</v>
      </c>
      <c r="O402" s="3"/>
      <c r="P402" s="59">
        <v>0.12</v>
      </c>
      <c r="Q402" s="57">
        <v>0.03</v>
      </c>
    </row>
    <row r="403" spans="1:17" x14ac:dyDescent="0.2">
      <c r="A403" s="198"/>
      <c r="B403" s="198"/>
      <c r="C403" s="17" t="s">
        <v>173</v>
      </c>
      <c r="D403" s="189"/>
      <c r="E403" s="17">
        <v>60</v>
      </c>
      <c r="F403" s="17" t="s">
        <v>159</v>
      </c>
      <c r="G403" s="17">
        <v>40</v>
      </c>
      <c r="H403" s="17" t="s">
        <v>159</v>
      </c>
      <c r="I403" s="17">
        <v>26</v>
      </c>
      <c r="J403" s="20">
        <f t="shared" si="14"/>
        <v>6.2399999999999997E-2</v>
      </c>
      <c r="K403" s="20">
        <v>14.5</v>
      </c>
      <c r="L403" s="20">
        <f>13.5/8</f>
        <v>1.6875</v>
      </c>
      <c r="M403" s="189"/>
      <c r="N403" s="189"/>
      <c r="O403" s="3"/>
      <c r="P403" s="59"/>
      <c r="Q403" s="57"/>
    </row>
    <row r="404" spans="1:17" x14ac:dyDescent="0.2">
      <c r="A404" s="197" t="s">
        <v>725</v>
      </c>
      <c r="B404" s="197" t="s">
        <v>726</v>
      </c>
      <c r="C404" s="17" t="s">
        <v>163</v>
      </c>
      <c r="D404" s="188">
        <v>8</v>
      </c>
      <c r="E404" s="17">
        <v>56</v>
      </c>
      <c r="F404" s="17" t="s">
        <v>159</v>
      </c>
      <c r="G404" s="17">
        <v>36</v>
      </c>
      <c r="H404" s="17" t="s">
        <v>159</v>
      </c>
      <c r="I404" s="17">
        <v>24</v>
      </c>
      <c r="J404" s="20">
        <f t="shared" si="14"/>
        <v>4.8384000000000003E-2</v>
      </c>
      <c r="K404" s="20">
        <v>11</v>
      </c>
      <c r="L404" s="20">
        <v>1.25</v>
      </c>
      <c r="M404" s="188">
        <v>6210500000</v>
      </c>
      <c r="N404" s="188" t="s">
        <v>6</v>
      </c>
      <c r="O404" s="3"/>
      <c r="P404" s="59">
        <v>0.12</v>
      </c>
      <c r="Q404" s="57">
        <v>0.03</v>
      </c>
    </row>
    <row r="405" spans="1:17" x14ac:dyDescent="0.2">
      <c r="A405" s="198"/>
      <c r="B405" s="198"/>
      <c r="C405" s="17" t="s">
        <v>167</v>
      </c>
      <c r="D405" s="189"/>
      <c r="E405" s="17">
        <v>60</v>
      </c>
      <c r="F405" s="17" t="s">
        <v>159</v>
      </c>
      <c r="G405" s="17">
        <v>40</v>
      </c>
      <c r="H405" s="17" t="s">
        <v>159</v>
      </c>
      <c r="I405" s="17">
        <v>24</v>
      </c>
      <c r="J405" s="20">
        <f t="shared" si="14"/>
        <v>5.7599999999999998E-2</v>
      </c>
      <c r="K405" s="20">
        <v>12.5</v>
      </c>
      <c r="L405" s="20">
        <f>11.5/8</f>
        <v>1.4375</v>
      </c>
      <c r="M405" s="189"/>
      <c r="N405" s="189"/>
      <c r="O405" s="3"/>
      <c r="P405" s="59">
        <v>0.12</v>
      </c>
      <c r="Q405" s="57">
        <v>0.03</v>
      </c>
    </row>
    <row r="406" spans="1:17" x14ac:dyDescent="0.2">
      <c r="A406" s="197" t="s">
        <v>889</v>
      </c>
      <c r="B406" s="197" t="s">
        <v>890</v>
      </c>
      <c r="C406" s="17" t="s">
        <v>175</v>
      </c>
      <c r="D406" s="17">
        <v>10</v>
      </c>
      <c r="E406" s="17">
        <v>52</v>
      </c>
      <c r="F406" s="17" t="s">
        <v>159</v>
      </c>
      <c r="G406" s="17">
        <v>38</v>
      </c>
      <c r="H406" s="17" t="s">
        <v>159</v>
      </c>
      <c r="I406" s="17">
        <v>25</v>
      </c>
      <c r="J406" s="20">
        <f t="shared" si="14"/>
        <v>4.9399999999999999E-2</v>
      </c>
      <c r="K406" s="20">
        <v>6.6</v>
      </c>
      <c r="L406" s="20">
        <v>0.57999999999999996</v>
      </c>
      <c r="M406" s="188">
        <v>6201930000</v>
      </c>
      <c r="N406" s="188" t="s">
        <v>6</v>
      </c>
      <c r="O406" s="3"/>
      <c r="P406" s="85">
        <v>2.7E-2</v>
      </c>
      <c r="Q406" s="57">
        <v>0.01</v>
      </c>
    </row>
    <row r="407" spans="1:17" x14ac:dyDescent="0.2">
      <c r="A407" s="204"/>
      <c r="B407" s="204"/>
      <c r="C407" s="17" t="s">
        <v>174</v>
      </c>
      <c r="D407" s="17">
        <v>10</v>
      </c>
      <c r="E407" s="17">
        <v>60</v>
      </c>
      <c r="F407" s="17" t="s">
        <v>159</v>
      </c>
      <c r="G407" s="17">
        <v>40</v>
      </c>
      <c r="H407" s="17" t="s">
        <v>159</v>
      </c>
      <c r="I407" s="17">
        <v>27</v>
      </c>
      <c r="J407" s="20">
        <f t="shared" si="14"/>
        <v>6.4799999999999996E-2</v>
      </c>
      <c r="K407" s="20">
        <v>7.4</v>
      </c>
      <c r="L407" s="20">
        <v>0.64</v>
      </c>
      <c r="M407" s="194"/>
      <c r="N407" s="194"/>
      <c r="O407" s="3"/>
      <c r="P407" s="89"/>
      <c r="Q407" s="57"/>
    </row>
    <row r="408" spans="1:17" x14ac:dyDescent="0.2">
      <c r="A408" s="198"/>
      <c r="B408" s="198"/>
      <c r="C408" s="17" t="s">
        <v>164</v>
      </c>
      <c r="D408" s="17">
        <v>10</v>
      </c>
      <c r="E408" s="17">
        <v>66</v>
      </c>
      <c r="F408" s="17" t="s">
        <v>159</v>
      </c>
      <c r="G408" s="17">
        <v>42</v>
      </c>
      <c r="H408" s="17" t="s">
        <v>159</v>
      </c>
      <c r="I408" s="17">
        <v>30</v>
      </c>
      <c r="J408" s="20">
        <f t="shared" si="14"/>
        <v>8.3159999999999998E-2</v>
      </c>
      <c r="K408" s="20">
        <v>8.8000000000000007</v>
      </c>
      <c r="L408" s="20">
        <v>0.77</v>
      </c>
      <c r="M408" s="189"/>
      <c r="N408" s="189"/>
      <c r="O408" s="3"/>
      <c r="P408" s="89"/>
      <c r="Q408" s="57"/>
    </row>
    <row r="409" spans="1:17" x14ac:dyDescent="0.2">
      <c r="A409" s="197" t="s">
        <v>952</v>
      </c>
      <c r="B409" s="197" t="s">
        <v>953</v>
      </c>
      <c r="C409" s="17" t="s">
        <v>163</v>
      </c>
      <c r="D409" s="188">
        <v>10</v>
      </c>
      <c r="E409" s="17">
        <v>54</v>
      </c>
      <c r="F409" s="17" t="s">
        <v>159</v>
      </c>
      <c r="G409" s="17">
        <v>34</v>
      </c>
      <c r="H409" s="17" t="s">
        <v>159</v>
      </c>
      <c r="I409" s="17">
        <v>25</v>
      </c>
      <c r="J409" s="20">
        <f t="shared" si="14"/>
        <v>4.5900000000000003E-2</v>
      </c>
      <c r="K409" s="20">
        <v>5.7</v>
      </c>
      <c r="L409" s="20">
        <v>0.51300000000000001</v>
      </c>
      <c r="M409" s="188">
        <v>4210400000</v>
      </c>
      <c r="N409" s="188" t="s">
        <v>6</v>
      </c>
      <c r="O409" s="3"/>
      <c r="P409" s="95"/>
      <c r="Q409" s="57"/>
    </row>
    <row r="410" spans="1:17" x14ac:dyDescent="0.2">
      <c r="A410" s="204"/>
      <c r="B410" s="204"/>
      <c r="C410" s="17" t="s">
        <v>162</v>
      </c>
      <c r="D410" s="194"/>
      <c r="E410" s="17">
        <v>60</v>
      </c>
      <c r="F410" s="17" t="s">
        <v>159</v>
      </c>
      <c r="G410" s="17">
        <v>36</v>
      </c>
      <c r="H410" s="17" t="s">
        <v>159</v>
      </c>
      <c r="I410" s="17">
        <v>25</v>
      </c>
      <c r="J410" s="20">
        <f t="shared" si="14"/>
        <v>5.3999999999999999E-2</v>
      </c>
      <c r="K410" s="20">
        <v>6.6</v>
      </c>
      <c r="L410" s="20">
        <v>0.59299999999999997</v>
      </c>
      <c r="M410" s="194"/>
      <c r="N410" s="194"/>
      <c r="O410" s="3"/>
      <c r="P410" s="96"/>
      <c r="Q410" s="57"/>
    </row>
    <row r="411" spans="1:17" x14ac:dyDescent="0.2">
      <c r="A411" s="198"/>
      <c r="B411" s="198"/>
      <c r="C411" s="17" t="s">
        <v>485</v>
      </c>
      <c r="D411" s="189"/>
      <c r="E411" s="17">
        <v>60</v>
      </c>
      <c r="F411" s="17" t="s">
        <v>159</v>
      </c>
      <c r="G411" s="17">
        <v>38</v>
      </c>
      <c r="H411" s="17" t="s">
        <v>159</v>
      </c>
      <c r="I411" s="17">
        <v>30</v>
      </c>
      <c r="J411" s="20">
        <f t="shared" si="14"/>
        <v>6.8400000000000002E-2</v>
      </c>
      <c r="K411" s="20">
        <v>7.6</v>
      </c>
      <c r="L411" s="20">
        <v>0.67</v>
      </c>
      <c r="M411" s="189"/>
      <c r="N411" s="189"/>
      <c r="O411" s="3"/>
      <c r="P411" s="96"/>
      <c r="Q411" s="57"/>
    </row>
    <row r="412" spans="1:17" x14ac:dyDescent="0.2">
      <c r="A412" s="197" t="s">
        <v>891</v>
      </c>
      <c r="B412" s="197" t="s">
        <v>892</v>
      </c>
      <c r="C412" s="17" t="s">
        <v>175</v>
      </c>
      <c r="D412" s="17">
        <v>10</v>
      </c>
      <c r="E412" s="17">
        <v>52</v>
      </c>
      <c r="F412" s="17" t="s">
        <v>159</v>
      </c>
      <c r="G412" s="17">
        <v>33</v>
      </c>
      <c r="H412" s="17" t="s">
        <v>159</v>
      </c>
      <c r="I412" s="17">
        <v>24</v>
      </c>
      <c r="J412" s="20">
        <f t="shared" si="14"/>
        <v>4.1183999999999998E-2</v>
      </c>
      <c r="K412" s="20">
        <v>6.9</v>
      </c>
      <c r="L412" s="20">
        <v>0.62</v>
      </c>
      <c r="M412" s="188">
        <v>6201930000</v>
      </c>
      <c r="N412" s="188" t="s">
        <v>6</v>
      </c>
      <c r="O412" s="3"/>
      <c r="P412" s="85">
        <v>2.7E-2</v>
      </c>
      <c r="Q412" s="57">
        <v>0.01</v>
      </c>
    </row>
    <row r="413" spans="1:17" x14ac:dyDescent="0.2">
      <c r="A413" s="204"/>
      <c r="B413" s="204"/>
      <c r="C413" s="17" t="s">
        <v>374</v>
      </c>
      <c r="D413" s="17">
        <v>10</v>
      </c>
      <c r="E413" s="17">
        <v>60</v>
      </c>
      <c r="F413" s="17" t="s">
        <v>159</v>
      </c>
      <c r="G413" s="17">
        <v>35</v>
      </c>
      <c r="H413" s="17" t="s">
        <v>159</v>
      </c>
      <c r="I413" s="17">
        <v>24</v>
      </c>
      <c r="J413" s="20">
        <f t="shared" si="14"/>
        <v>5.04E-2</v>
      </c>
      <c r="K413" s="20">
        <v>7.7</v>
      </c>
      <c r="L413" s="20">
        <v>0.7</v>
      </c>
      <c r="M413" s="194"/>
      <c r="N413" s="194"/>
      <c r="O413" s="3"/>
      <c r="P413" s="89"/>
      <c r="Q413" s="57"/>
    </row>
    <row r="414" spans="1:17" x14ac:dyDescent="0.2">
      <c r="A414" s="198"/>
      <c r="B414" s="198"/>
      <c r="C414" s="17" t="s">
        <v>164</v>
      </c>
      <c r="D414" s="17">
        <v>10</v>
      </c>
      <c r="E414" s="17">
        <v>62</v>
      </c>
      <c r="F414" s="17" t="s">
        <v>159</v>
      </c>
      <c r="G414" s="17">
        <v>40</v>
      </c>
      <c r="H414" s="17" t="s">
        <v>159</v>
      </c>
      <c r="I414" s="17">
        <v>26</v>
      </c>
      <c r="J414" s="20">
        <f t="shared" si="14"/>
        <v>6.4479999999999996E-2</v>
      </c>
      <c r="K414" s="20">
        <v>8.8000000000000007</v>
      </c>
      <c r="L414" s="20">
        <v>0.8</v>
      </c>
      <c r="M414" s="189"/>
      <c r="N414" s="189"/>
      <c r="O414" s="3"/>
      <c r="P414" s="89"/>
      <c r="Q414" s="57"/>
    </row>
    <row r="415" spans="1:17" x14ac:dyDescent="0.2">
      <c r="A415" s="197" t="s">
        <v>893</v>
      </c>
      <c r="B415" s="197" t="s">
        <v>894</v>
      </c>
      <c r="C415" s="17" t="s">
        <v>175</v>
      </c>
      <c r="D415" s="17">
        <v>10</v>
      </c>
      <c r="E415" s="17">
        <v>52</v>
      </c>
      <c r="F415" s="17" t="s">
        <v>159</v>
      </c>
      <c r="G415" s="17">
        <v>33</v>
      </c>
      <c r="H415" s="17" t="s">
        <v>159</v>
      </c>
      <c r="I415" s="17">
        <v>27</v>
      </c>
      <c r="J415" s="20">
        <f t="shared" si="14"/>
        <v>4.6331999999999998E-2</v>
      </c>
      <c r="K415" s="20">
        <v>5.6</v>
      </c>
      <c r="L415" s="20">
        <v>0.5</v>
      </c>
      <c r="M415" s="197">
        <v>6201930000</v>
      </c>
      <c r="N415" s="188" t="s">
        <v>6</v>
      </c>
      <c r="O415" s="3"/>
      <c r="P415" s="85">
        <v>2.7E-2</v>
      </c>
      <c r="Q415" s="57">
        <v>0.01</v>
      </c>
    </row>
    <row r="416" spans="1:17" x14ac:dyDescent="0.2">
      <c r="A416" s="204"/>
      <c r="B416" s="204"/>
      <c r="C416" s="17" t="s">
        <v>374</v>
      </c>
      <c r="D416" s="17">
        <v>10</v>
      </c>
      <c r="E416" s="17">
        <v>60</v>
      </c>
      <c r="F416" s="17" t="s">
        <v>159</v>
      </c>
      <c r="G416" s="17">
        <v>35</v>
      </c>
      <c r="H416" s="17" t="s">
        <v>159</v>
      </c>
      <c r="I416" s="17">
        <v>27</v>
      </c>
      <c r="J416" s="20">
        <f t="shared" si="14"/>
        <v>5.67E-2</v>
      </c>
      <c r="K416" s="20">
        <v>6.2</v>
      </c>
      <c r="L416" s="20">
        <v>0.54</v>
      </c>
      <c r="M416" s="204"/>
      <c r="N416" s="194"/>
      <c r="O416" s="3"/>
      <c r="P416" s="89"/>
      <c r="Q416" s="57"/>
    </row>
    <row r="417" spans="1:17" x14ac:dyDescent="0.2">
      <c r="A417" s="198"/>
      <c r="B417" s="198"/>
      <c r="C417" s="17" t="s">
        <v>158</v>
      </c>
      <c r="D417" s="17">
        <v>10</v>
      </c>
      <c r="E417" s="17">
        <v>68</v>
      </c>
      <c r="F417" s="17" t="s">
        <v>159</v>
      </c>
      <c r="G417" s="17">
        <v>38</v>
      </c>
      <c r="H417" s="17" t="s">
        <v>159</v>
      </c>
      <c r="I417" s="17">
        <v>27</v>
      </c>
      <c r="J417" s="20">
        <f t="shared" si="14"/>
        <v>6.9767999999999997E-2</v>
      </c>
      <c r="K417" s="20">
        <v>7</v>
      </c>
      <c r="L417" s="20">
        <v>0.6</v>
      </c>
      <c r="M417" s="198"/>
      <c r="N417" s="189"/>
      <c r="O417" s="3"/>
      <c r="P417" s="89"/>
      <c r="Q417" s="57"/>
    </row>
    <row r="418" spans="1:17" x14ac:dyDescent="0.2">
      <c r="A418" s="202" t="s">
        <v>895</v>
      </c>
      <c r="B418" s="205" t="s">
        <v>896</v>
      </c>
      <c r="C418" s="17" t="s">
        <v>7</v>
      </c>
      <c r="D418" s="17">
        <v>10</v>
      </c>
      <c r="E418" s="17">
        <v>58</v>
      </c>
      <c r="F418" s="17" t="s">
        <v>159</v>
      </c>
      <c r="G418" s="17">
        <v>38</v>
      </c>
      <c r="H418" s="17" t="s">
        <v>159</v>
      </c>
      <c r="I418" s="17">
        <v>16</v>
      </c>
      <c r="J418" s="20">
        <f t="shared" si="14"/>
        <v>3.5263999999999997E-2</v>
      </c>
      <c r="K418" s="20">
        <v>6.5</v>
      </c>
      <c r="L418" s="20">
        <v>0.65</v>
      </c>
      <c r="M418" s="188">
        <v>6201930000</v>
      </c>
      <c r="N418" s="188" t="s">
        <v>6</v>
      </c>
      <c r="O418" s="3"/>
      <c r="P418" s="85">
        <v>2.7E-2</v>
      </c>
      <c r="Q418" s="57">
        <v>0.01</v>
      </c>
    </row>
    <row r="419" spans="1:17" x14ac:dyDescent="0.2">
      <c r="A419" s="203"/>
      <c r="B419" s="205"/>
      <c r="C419" s="17" t="s">
        <v>158</v>
      </c>
      <c r="D419" s="17">
        <v>10</v>
      </c>
      <c r="E419" s="17">
        <v>60</v>
      </c>
      <c r="F419" s="17" t="s">
        <v>159</v>
      </c>
      <c r="G419" s="17">
        <v>40</v>
      </c>
      <c r="H419" s="17" t="s">
        <v>159</v>
      </c>
      <c r="I419" s="17">
        <v>18</v>
      </c>
      <c r="J419" s="20">
        <f t="shared" si="14"/>
        <v>4.3200000000000002E-2</v>
      </c>
      <c r="K419" s="20">
        <v>6.5</v>
      </c>
      <c r="L419" s="20">
        <v>0.65</v>
      </c>
      <c r="M419" s="189"/>
      <c r="N419" s="189"/>
      <c r="O419" s="3"/>
      <c r="P419" s="88"/>
      <c r="Q419" s="57"/>
    </row>
    <row r="420" spans="1:17" x14ac:dyDescent="0.2">
      <c r="A420" s="197" t="s">
        <v>897</v>
      </c>
      <c r="B420" s="197" t="s">
        <v>896</v>
      </c>
      <c r="C420" s="17" t="s">
        <v>163</v>
      </c>
      <c r="D420" s="17">
        <v>10</v>
      </c>
      <c r="E420" s="17">
        <v>50</v>
      </c>
      <c r="F420" s="17" t="s">
        <v>159</v>
      </c>
      <c r="G420" s="17">
        <v>33</v>
      </c>
      <c r="H420" s="17" t="s">
        <v>159</v>
      </c>
      <c r="I420" s="17">
        <v>16</v>
      </c>
      <c r="J420" s="20">
        <f t="shared" si="14"/>
        <v>2.64E-2</v>
      </c>
      <c r="K420" s="20">
        <v>7</v>
      </c>
      <c r="L420" s="20">
        <v>0.6</v>
      </c>
      <c r="M420" s="188">
        <v>6202930000</v>
      </c>
      <c r="N420" s="188" t="s">
        <v>6</v>
      </c>
      <c r="O420" s="3"/>
      <c r="P420" s="88"/>
      <c r="Q420" s="57"/>
    </row>
    <row r="421" spans="1:17" x14ac:dyDescent="0.2">
      <c r="A421" s="204"/>
      <c r="B421" s="204"/>
      <c r="C421" s="81" t="s">
        <v>162</v>
      </c>
      <c r="D421" s="81">
        <v>10</v>
      </c>
      <c r="E421" s="81">
        <v>55</v>
      </c>
      <c r="F421" s="81" t="s">
        <v>159</v>
      </c>
      <c r="G421" s="81">
        <v>35</v>
      </c>
      <c r="H421" s="81" t="s">
        <v>159</v>
      </c>
      <c r="I421" s="81">
        <v>16</v>
      </c>
      <c r="J421" s="90">
        <f t="shared" si="14"/>
        <v>3.0800000000000001E-2</v>
      </c>
      <c r="K421" s="90">
        <v>7</v>
      </c>
      <c r="L421" s="90">
        <v>0.6</v>
      </c>
      <c r="M421" s="194"/>
      <c r="N421" s="194"/>
      <c r="O421" s="3"/>
      <c r="P421" s="85">
        <v>2.7E-2</v>
      </c>
      <c r="Q421" s="57">
        <v>0.01</v>
      </c>
    </row>
    <row r="422" spans="1:17" x14ac:dyDescent="0.2">
      <c r="A422" s="206" t="s">
        <v>954</v>
      </c>
      <c r="B422" s="206" t="s">
        <v>955</v>
      </c>
      <c r="C422" s="5" t="s">
        <v>163</v>
      </c>
      <c r="D422" s="208">
        <v>10</v>
      </c>
      <c r="E422" s="17">
        <v>58</v>
      </c>
      <c r="F422" s="17" t="s">
        <v>159</v>
      </c>
      <c r="G422" s="17">
        <v>38</v>
      </c>
      <c r="H422" s="17" t="s">
        <v>159</v>
      </c>
      <c r="I422" s="17">
        <v>27</v>
      </c>
      <c r="J422" s="20">
        <f t="shared" si="14"/>
        <v>5.9507999999999998E-2</v>
      </c>
      <c r="K422" s="20">
        <v>9.6</v>
      </c>
      <c r="L422" s="20">
        <f>8.6/D422</f>
        <v>0.86</v>
      </c>
      <c r="M422" s="209">
        <v>6201930000</v>
      </c>
      <c r="N422" s="209" t="s">
        <v>6</v>
      </c>
    </row>
    <row r="423" spans="1:17" x14ac:dyDescent="0.2">
      <c r="A423" s="206"/>
      <c r="B423" s="206"/>
      <c r="C423" s="5" t="s">
        <v>162</v>
      </c>
      <c r="D423" s="208"/>
      <c r="E423" s="17">
        <v>60</v>
      </c>
      <c r="F423" s="17" t="s">
        <v>159</v>
      </c>
      <c r="G423" s="17">
        <v>40</v>
      </c>
      <c r="H423" s="17" t="s">
        <v>159</v>
      </c>
      <c r="I423" s="17">
        <v>27</v>
      </c>
      <c r="J423" s="20">
        <f t="shared" si="14"/>
        <v>6.4799999999999996E-2</v>
      </c>
      <c r="K423" s="20">
        <v>11.4</v>
      </c>
      <c r="L423" s="20">
        <f>10.4/D422</f>
        <v>1.04</v>
      </c>
      <c r="M423" s="210"/>
      <c r="N423" s="210"/>
    </row>
    <row r="424" spans="1:17" x14ac:dyDescent="0.2">
      <c r="A424" s="206"/>
      <c r="B424" s="206"/>
      <c r="C424" s="5" t="s">
        <v>485</v>
      </c>
      <c r="D424" s="208"/>
      <c r="E424" s="17">
        <v>60</v>
      </c>
      <c r="F424" s="17" t="s">
        <v>159</v>
      </c>
      <c r="G424" s="17">
        <v>40</v>
      </c>
      <c r="H424" s="17" t="s">
        <v>159</v>
      </c>
      <c r="I424" s="17">
        <v>30</v>
      </c>
      <c r="J424" s="20">
        <f t="shared" si="14"/>
        <v>7.1999999999999995E-2</v>
      </c>
      <c r="K424" s="20">
        <v>12.6</v>
      </c>
      <c r="L424" s="20">
        <f>11.6/D422</f>
        <v>1.1599999999999999</v>
      </c>
      <c r="M424" s="211"/>
      <c r="N424" s="211"/>
    </row>
    <row r="425" spans="1:17" x14ac:dyDescent="0.2">
      <c r="A425" s="197" t="s">
        <v>980</v>
      </c>
      <c r="B425" s="197" t="s">
        <v>1019</v>
      </c>
      <c r="C425" s="17" t="s">
        <v>163</v>
      </c>
      <c r="D425" s="188">
        <v>10</v>
      </c>
      <c r="E425" s="112">
        <v>56</v>
      </c>
      <c r="F425" s="112" t="s">
        <v>159</v>
      </c>
      <c r="G425" s="112">
        <v>35</v>
      </c>
      <c r="H425" s="112" t="s">
        <v>159</v>
      </c>
      <c r="I425" s="112">
        <v>36</v>
      </c>
      <c r="J425" s="113">
        <f t="shared" ref="J425:J452" si="15">+E425*G425*I425/1000000</f>
        <v>7.0559999999999998E-2</v>
      </c>
      <c r="K425" s="113">
        <v>8.6999999999999993</v>
      </c>
      <c r="L425" s="113">
        <f>7.7/10</f>
        <v>0.77</v>
      </c>
      <c r="M425" s="188">
        <v>6201139090</v>
      </c>
      <c r="N425" s="188" t="s">
        <v>6</v>
      </c>
    </row>
    <row r="426" spans="1:17" x14ac:dyDescent="0.2">
      <c r="A426" s="204"/>
      <c r="B426" s="204"/>
      <c r="C426" s="112" t="s">
        <v>107</v>
      </c>
      <c r="D426" s="194"/>
      <c r="E426" s="112">
        <v>62</v>
      </c>
      <c r="F426" s="112" t="s">
        <v>159</v>
      </c>
      <c r="G426" s="112">
        <v>38</v>
      </c>
      <c r="H426" s="112" t="s">
        <v>159</v>
      </c>
      <c r="I426" s="112">
        <v>36</v>
      </c>
      <c r="J426" s="113">
        <f t="shared" si="15"/>
        <v>8.4816000000000003E-2</v>
      </c>
      <c r="K426" s="113">
        <v>9.85</v>
      </c>
      <c r="L426" s="113">
        <f>8.8/10</f>
        <v>0.88000000000000012</v>
      </c>
      <c r="M426" s="194"/>
      <c r="N426" s="194"/>
    </row>
    <row r="427" spans="1:17" x14ac:dyDescent="0.2">
      <c r="A427" s="198"/>
      <c r="B427" s="198"/>
      <c r="C427" s="112" t="s">
        <v>164</v>
      </c>
      <c r="D427" s="189"/>
      <c r="E427" s="112">
        <v>70</v>
      </c>
      <c r="F427" s="112" t="s">
        <v>159</v>
      </c>
      <c r="G427" s="112">
        <v>40</v>
      </c>
      <c r="H427" s="112" t="s">
        <v>159</v>
      </c>
      <c r="I427" s="112">
        <v>36</v>
      </c>
      <c r="J427" s="113">
        <f t="shared" si="15"/>
        <v>0.1008</v>
      </c>
      <c r="K427" s="113">
        <v>11.25</v>
      </c>
      <c r="L427" s="113">
        <f>10.05/10</f>
        <v>1.0050000000000001</v>
      </c>
      <c r="M427" s="189"/>
      <c r="N427" s="189"/>
    </row>
    <row r="428" spans="1:17" x14ac:dyDescent="0.2">
      <c r="A428" s="197" t="s">
        <v>981</v>
      </c>
      <c r="B428" s="197" t="s">
        <v>1020</v>
      </c>
      <c r="C428" s="17" t="s">
        <v>163</v>
      </c>
      <c r="D428" s="188">
        <v>10</v>
      </c>
      <c r="E428" s="112">
        <v>56</v>
      </c>
      <c r="F428" s="112" t="s">
        <v>159</v>
      </c>
      <c r="G428" s="112">
        <v>35</v>
      </c>
      <c r="H428" s="112" t="s">
        <v>159</v>
      </c>
      <c r="I428" s="112">
        <v>36</v>
      </c>
      <c r="J428" s="113">
        <f t="shared" si="15"/>
        <v>7.0559999999999998E-2</v>
      </c>
      <c r="K428" s="113">
        <v>8.6999999999999993</v>
      </c>
      <c r="L428" s="113">
        <f>7.7/10</f>
        <v>0.77</v>
      </c>
      <c r="M428" s="188">
        <v>6201930000</v>
      </c>
      <c r="N428" s="188" t="s">
        <v>6</v>
      </c>
    </row>
    <row r="429" spans="1:17" x14ac:dyDescent="0.2">
      <c r="A429" s="204"/>
      <c r="B429" s="204"/>
      <c r="C429" s="112" t="s">
        <v>107</v>
      </c>
      <c r="D429" s="194"/>
      <c r="E429" s="112">
        <v>62</v>
      </c>
      <c r="F429" s="112" t="s">
        <v>159</v>
      </c>
      <c r="G429" s="112">
        <v>38</v>
      </c>
      <c r="H429" s="112" t="s">
        <v>159</v>
      </c>
      <c r="I429" s="112">
        <v>36</v>
      </c>
      <c r="J429" s="113">
        <f t="shared" si="15"/>
        <v>8.4816000000000003E-2</v>
      </c>
      <c r="K429" s="113">
        <v>9.85</v>
      </c>
      <c r="L429" s="113">
        <f>8.8/10</f>
        <v>0.88000000000000012</v>
      </c>
      <c r="M429" s="194"/>
      <c r="N429" s="194"/>
    </row>
    <row r="430" spans="1:17" x14ac:dyDescent="0.2">
      <c r="A430" s="198"/>
      <c r="B430" s="198"/>
      <c r="C430" s="112" t="s">
        <v>164</v>
      </c>
      <c r="D430" s="189"/>
      <c r="E430" s="112">
        <v>70</v>
      </c>
      <c r="F430" s="112" t="s">
        <v>159</v>
      </c>
      <c r="G430" s="112">
        <v>40</v>
      </c>
      <c r="H430" s="112" t="s">
        <v>159</v>
      </c>
      <c r="I430" s="112">
        <v>36</v>
      </c>
      <c r="J430" s="113">
        <f t="shared" si="15"/>
        <v>0.1008</v>
      </c>
      <c r="K430" s="113">
        <v>11.25</v>
      </c>
      <c r="L430" s="113">
        <f>10.05/10</f>
        <v>1.0050000000000001</v>
      </c>
      <c r="M430" s="189"/>
      <c r="N430" s="189"/>
    </row>
    <row r="431" spans="1:17" x14ac:dyDescent="0.2">
      <c r="A431" s="197" t="s">
        <v>982</v>
      </c>
      <c r="B431" s="197" t="s">
        <v>1011</v>
      </c>
      <c r="C431" s="17" t="s">
        <v>20</v>
      </c>
      <c r="D431" s="188">
        <v>10</v>
      </c>
      <c r="E431" s="112">
        <v>50</v>
      </c>
      <c r="F431" s="112" t="s">
        <v>159</v>
      </c>
      <c r="G431" s="112">
        <v>32</v>
      </c>
      <c r="H431" s="112" t="s">
        <v>159</v>
      </c>
      <c r="I431" s="112">
        <v>36</v>
      </c>
      <c r="J431" s="113">
        <f t="shared" si="15"/>
        <v>5.7599999999999998E-2</v>
      </c>
      <c r="K431" s="113">
        <v>8.3000000000000007</v>
      </c>
      <c r="L431" s="113">
        <f>7.5/D431</f>
        <v>0.75</v>
      </c>
      <c r="M431" s="188">
        <v>6201930000</v>
      </c>
      <c r="N431" s="188" t="s">
        <v>6</v>
      </c>
    </row>
    <row r="432" spans="1:17" x14ac:dyDescent="0.2">
      <c r="A432" s="204"/>
      <c r="B432" s="204"/>
      <c r="C432" s="112" t="s">
        <v>166</v>
      </c>
      <c r="D432" s="194"/>
      <c r="E432" s="112">
        <v>56</v>
      </c>
      <c r="F432" s="112" t="s">
        <v>159</v>
      </c>
      <c r="G432" s="112">
        <v>35</v>
      </c>
      <c r="H432" s="112" t="s">
        <v>159</v>
      </c>
      <c r="I432" s="112">
        <v>36</v>
      </c>
      <c r="J432" s="113">
        <f t="shared" si="15"/>
        <v>7.0559999999999998E-2</v>
      </c>
      <c r="K432" s="113">
        <v>9</v>
      </c>
      <c r="L432" s="113">
        <v>0.8</v>
      </c>
      <c r="M432" s="194"/>
      <c r="N432" s="194"/>
    </row>
    <row r="433" spans="1:14" x14ac:dyDescent="0.2">
      <c r="A433" s="204"/>
      <c r="B433" s="204"/>
      <c r="C433" s="112" t="s">
        <v>107</v>
      </c>
      <c r="D433" s="194"/>
      <c r="E433" s="112">
        <v>62</v>
      </c>
      <c r="F433" s="112" t="s">
        <v>159</v>
      </c>
      <c r="G433" s="112">
        <v>38</v>
      </c>
      <c r="H433" s="112" t="s">
        <v>159</v>
      </c>
      <c r="I433" s="112">
        <v>36</v>
      </c>
      <c r="J433" s="113">
        <f t="shared" si="15"/>
        <v>8.4816000000000003E-2</v>
      </c>
      <c r="K433" s="113">
        <v>9.9</v>
      </c>
      <c r="L433" s="113">
        <f>8.8/10</f>
        <v>0.88000000000000012</v>
      </c>
      <c r="M433" s="194"/>
      <c r="N433" s="194"/>
    </row>
    <row r="434" spans="1:14" x14ac:dyDescent="0.2">
      <c r="A434" s="198"/>
      <c r="B434" s="198"/>
      <c r="C434" s="112" t="s">
        <v>164</v>
      </c>
      <c r="D434" s="189"/>
      <c r="E434" s="112">
        <v>70</v>
      </c>
      <c r="F434" s="112" t="s">
        <v>159</v>
      </c>
      <c r="G434" s="112">
        <v>40</v>
      </c>
      <c r="H434" s="112" t="s">
        <v>159</v>
      </c>
      <c r="I434" s="112">
        <v>36</v>
      </c>
      <c r="J434" s="113">
        <f t="shared" si="15"/>
        <v>0.1008</v>
      </c>
      <c r="K434" s="113">
        <v>10.85</v>
      </c>
      <c r="L434" s="113">
        <f>9.65/10</f>
        <v>0.96500000000000008</v>
      </c>
      <c r="M434" s="189"/>
      <c r="N434" s="189"/>
    </row>
    <row r="435" spans="1:14" x14ac:dyDescent="0.2">
      <c r="A435" s="19" t="s">
        <v>964</v>
      </c>
      <c r="B435" s="19" t="s">
        <v>970</v>
      </c>
      <c r="C435" s="17" t="s">
        <v>28</v>
      </c>
      <c r="D435" s="17">
        <v>10</v>
      </c>
      <c r="E435" s="17">
        <v>60</v>
      </c>
      <c r="F435" s="17" t="s">
        <v>159</v>
      </c>
      <c r="G435" s="17">
        <v>40</v>
      </c>
      <c r="H435" s="17" t="s">
        <v>159</v>
      </c>
      <c r="I435" s="17">
        <v>20</v>
      </c>
      <c r="J435" s="20">
        <f t="shared" si="15"/>
        <v>4.8000000000000001E-2</v>
      </c>
      <c r="K435" s="20">
        <v>7.5</v>
      </c>
      <c r="L435" s="20">
        <f>6.5/10</f>
        <v>0.65</v>
      </c>
      <c r="M435" s="17">
        <v>6203339000</v>
      </c>
      <c r="N435" s="17" t="s">
        <v>6</v>
      </c>
    </row>
    <row r="436" spans="1:14" x14ac:dyDescent="0.2">
      <c r="A436" s="19" t="s">
        <v>965</v>
      </c>
      <c r="B436" s="19" t="s">
        <v>971</v>
      </c>
      <c r="C436" s="17" t="s">
        <v>28</v>
      </c>
      <c r="D436" s="145">
        <v>10</v>
      </c>
      <c r="E436" s="17">
        <v>60</v>
      </c>
      <c r="F436" s="17" t="s">
        <v>159</v>
      </c>
      <c r="G436" s="17">
        <v>40</v>
      </c>
      <c r="H436" s="17" t="s">
        <v>159</v>
      </c>
      <c r="I436" s="17">
        <v>15</v>
      </c>
      <c r="J436" s="20">
        <f t="shared" si="15"/>
        <v>3.5999999999999997E-2</v>
      </c>
      <c r="K436" s="20">
        <v>5</v>
      </c>
      <c r="L436" s="20">
        <v>0.4</v>
      </c>
      <c r="M436" s="17">
        <v>6211339000</v>
      </c>
      <c r="N436" s="17" t="s">
        <v>6</v>
      </c>
    </row>
    <row r="437" spans="1:14" x14ac:dyDescent="0.2">
      <c r="A437" s="197" t="s">
        <v>1035</v>
      </c>
      <c r="B437" s="197" t="s">
        <v>1036</v>
      </c>
      <c r="C437" s="145" t="s">
        <v>7</v>
      </c>
      <c r="D437" s="188">
        <v>10</v>
      </c>
      <c r="E437" s="161">
        <v>60</v>
      </c>
      <c r="F437" s="161" t="s">
        <v>159</v>
      </c>
      <c r="G437" s="161">
        <v>40</v>
      </c>
      <c r="H437" s="161" t="s">
        <v>159</v>
      </c>
      <c r="I437" s="161">
        <v>44</v>
      </c>
      <c r="J437" s="162">
        <f t="shared" si="15"/>
        <v>0.1056</v>
      </c>
      <c r="K437" s="162">
        <v>13.7</v>
      </c>
      <c r="L437" s="162">
        <f>12.7/10</f>
        <v>1.27</v>
      </c>
      <c r="M437" s="199">
        <v>6210400000</v>
      </c>
      <c r="N437" s="188" t="s">
        <v>6</v>
      </c>
    </row>
    <row r="438" spans="1:14" x14ac:dyDescent="0.2">
      <c r="A438" s="198"/>
      <c r="B438" s="198"/>
      <c r="C438" s="161" t="s">
        <v>158</v>
      </c>
      <c r="D438" s="189"/>
      <c r="E438" s="161">
        <v>60</v>
      </c>
      <c r="F438" s="161" t="s">
        <v>159</v>
      </c>
      <c r="G438" s="161">
        <v>40</v>
      </c>
      <c r="H438" s="161" t="s">
        <v>159</v>
      </c>
      <c r="I438" s="161">
        <v>48</v>
      </c>
      <c r="J438" s="162">
        <f t="shared" si="15"/>
        <v>0.1152</v>
      </c>
      <c r="K438" s="160">
        <v>14.8</v>
      </c>
      <c r="L438" s="160">
        <f>13.8/10</f>
        <v>1.3800000000000001</v>
      </c>
      <c r="M438" s="201"/>
      <c r="N438" s="189"/>
    </row>
    <row r="439" spans="1:14" x14ac:dyDescent="0.2">
      <c r="A439" s="197" t="s">
        <v>985</v>
      </c>
      <c r="B439" s="234" t="s">
        <v>987</v>
      </c>
      <c r="C439" s="17" t="s">
        <v>166</v>
      </c>
      <c r="D439" s="188">
        <v>15</v>
      </c>
      <c r="E439" s="112">
        <v>60</v>
      </c>
      <c r="F439" s="112" t="s">
        <v>159</v>
      </c>
      <c r="G439" s="112">
        <v>40</v>
      </c>
      <c r="H439" s="112" t="s">
        <v>159</v>
      </c>
      <c r="I439" s="112">
        <v>25</v>
      </c>
      <c r="J439" s="113">
        <f t="shared" si="15"/>
        <v>0.06</v>
      </c>
      <c r="K439" s="191">
        <v>10.26</v>
      </c>
      <c r="L439" s="191">
        <f>8.4/15</f>
        <v>0.56000000000000005</v>
      </c>
      <c r="M439" s="188">
        <v>6203399000</v>
      </c>
      <c r="N439" s="188" t="s">
        <v>108</v>
      </c>
    </row>
    <row r="440" spans="1:14" x14ac:dyDescent="0.2">
      <c r="A440" s="198"/>
      <c r="B440" s="235"/>
      <c r="C440" s="112" t="s">
        <v>167</v>
      </c>
      <c r="D440" s="189"/>
      <c r="E440" s="112">
        <v>60</v>
      </c>
      <c r="F440" s="112" t="s">
        <v>159</v>
      </c>
      <c r="G440" s="112">
        <v>40</v>
      </c>
      <c r="H440" s="112" t="s">
        <v>159</v>
      </c>
      <c r="I440" s="112">
        <v>30</v>
      </c>
      <c r="J440" s="113">
        <f t="shared" si="15"/>
        <v>7.1999999999999995E-2</v>
      </c>
      <c r="K440" s="192"/>
      <c r="L440" s="192"/>
      <c r="M440" s="189"/>
      <c r="N440" s="189"/>
    </row>
    <row r="441" spans="1:14" x14ac:dyDescent="0.2">
      <c r="A441" s="19" t="s">
        <v>986</v>
      </c>
      <c r="B441" s="19" t="s">
        <v>988</v>
      </c>
      <c r="C441" s="17" t="s">
        <v>23</v>
      </c>
      <c r="D441" s="145">
        <v>15</v>
      </c>
      <c r="E441" s="112">
        <v>60</v>
      </c>
      <c r="F441" s="112" t="s">
        <v>159</v>
      </c>
      <c r="G441" s="112">
        <v>40</v>
      </c>
      <c r="H441" s="112" t="s">
        <v>159</v>
      </c>
      <c r="I441" s="112">
        <v>25</v>
      </c>
      <c r="J441" s="113">
        <f t="shared" si="15"/>
        <v>0.06</v>
      </c>
      <c r="K441" s="113">
        <v>10.26</v>
      </c>
      <c r="L441" s="113">
        <f>8.4/15</f>
        <v>0.56000000000000005</v>
      </c>
      <c r="M441" s="104">
        <v>6204399090</v>
      </c>
      <c r="N441" s="47" t="s">
        <v>108</v>
      </c>
    </row>
    <row r="442" spans="1:14" x14ac:dyDescent="0.2">
      <c r="A442" s="19" t="s">
        <v>989</v>
      </c>
      <c r="B442" s="19" t="s">
        <v>990</v>
      </c>
      <c r="C442" s="17" t="s">
        <v>991</v>
      </c>
      <c r="D442" s="145">
        <v>8</v>
      </c>
      <c r="E442" s="116">
        <v>52</v>
      </c>
      <c r="F442" s="116" t="s">
        <v>159</v>
      </c>
      <c r="G442" s="116">
        <v>36</v>
      </c>
      <c r="H442" s="116" t="s">
        <v>159</v>
      </c>
      <c r="I442" s="116">
        <v>46</v>
      </c>
      <c r="J442" s="117">
        <f t="shared" si="15"/>
        <v>8.6111999999999994E-2</v>
      </c>
      <c r="K442" s="117">
        <v>10.29</v>
      </c>
      <c r="L442" s="117">
        <v>1.2609999999999999</v>
      </c>
      <c r="M442" s="99">
        <v>6403400000</v>
      </c>
      <c r="N442" s="47" t="s">
        <v>6</v>
      </c>
    </row>
    <row r="443" spans="1:14" x14ac:dyDescent="0.2">
      <c r="A443" s="19" t="s">
        <v>992</v>
      </c>
      <c r="B443" s="19" t="s">
        <v>993</v>
      </c>
      <c r="C443" s="17" t="s">
        <v>991</v>
      </c>
      <c r="D443" s="145">
        <v>8</v>
      </c>
      <c r="E443" s="116">
        <v>52</v>
      </c>
      <c r="F443" s="116" t="s">
        <v>159</v>
      </c>
      <c r="G443" s="116">
        <v>36</v>
      </c>
      <c r="H443" s="116" t="s">
        <v>159</v>
      </c>
      <c r="I443" s="116">
        <v>46</v>
      </c>
      <c r="J443" s="117">
        <f t="shared" si="15"/>
        <v>8.6111999999999994E-2</v>
      </c>
      <c r="K443" s="117">
        <v>10.173</v>
      </c>
      <c r="L443" s="117">
        <v>1.2470000000000001</v>
      </c>
      <c r="M443" s="99">
        <v>6403400000</v>
      </c>
      <c r="N443" s="47" t="s">
        <v>6</v>
      </c>
    </row>
    <row r="444" spans="1:14" x14ac:dyDescent="0.2">
      <c r="A444" s="19" t="s">
        <v>994</v>
      </c>
      <c r="B444" s="19" t="s">
        <v>995</v>
      </c>
      <c r="C444" s="17" t="s">
        <v>996</v>
      </c>
      <c r="D444" s="145">
        <v>8</v>
      </c>
      <c r="E444" s="116">
        <v>52</v>
      </c>
      <c r="F444" s="116" t="s">
        <v>159</v>
      </c>
      <c r="G444" s="116">
        <v>36</v>
      </c>
      <c r="H444" s="116" t="s">
        <v>159</v>
      </c>
      <c r="I444" s="116">
        <v>46</v>
      </c>
      <c r="J444" s="117">
        <f t="shared" si="15"/>
        <v>8.6111999999999994E-2</v>
      </c>
      <c r="K444" s="117">
        <v>11.05</v>
      </c>
      <c r="L444" s="117">
        <v>1.3560000000000001</v>
      </c>
      <c r="M444" s="99">
        <v>6403400000</v>
      </c>
      <c r="N444" s="47" t="s">
        <v>6</v>
      </c>
    </row>
    <row r="445" spans="1:14" x14ac:dyDescent="0.2">
      <c r="A445" s="197" t="s">
        <v>1048</v>
      </c>
      <c r="B445" s="197" t="s">
        <v>1041</v>
      </c>
      <c r="C445" s="145" t="s">
        <v>169</v>
      </c>
      <c r="D445" s="188">
        <v>20</v>
      </c>
      <c r="E445" s="147">
        <v>60</v>
      </c>
      <c r="F445" s="147" t="s">
        <v>159</v>
      </c>
      <c r="G445" s="147">
        <v>40</v>
      </c>
      <c r="H445" s="147" t="s">
        <v>159</v>
      </c>
      <c r="I445" s="147">
        <v>20</v>
      </c>
      <c r="J445" s="148">
        <f t="shared" si="15"/>
        <v>4.8000000000000001E-2</v>
      </c>
      <c r="K445" s="191">
        <v>10.26</v>
      </c>
      <c r="L445" s="191">
        <f>8.4/D445</f>
        <v>0.42000000000000004</v>
      </c>
      <c r="M445" s="188">
        <v>6203423500</v>
      </c>
      <c r="N445" s="188" t="s">
        <v>108</v>
      </c>
    </row>
    <row r="446" spans="1:14" x14ac:dyDescent="0.2">
      <c r="A446" s="198"/>
      <c r="B446" s="198"/>
      <c r="C446" s="147" t="s">
        <v>173</v>
      </c>
      <c r="D446" s="189"/>
      <c r="E446" s="147">
        <v>60</v>
      </c>
      <c r="F446" s="147" t="s">
        <v>159</v>
      </c>
      <c r="G446" s="147">
        <v>40</v>
      </c>
      <c r="H446" s="147" t="s">
        <v>159</v>
      </c>
      <c r="I446" s="147">
        <v>25</v>
      </c>
      <c r="J446" s="148">
        <f t="shared" si="15"/>
        <v>0.06</v>
      </c>
      <c r="K446" s="192"/>
      <c r="L446" s="192"/>
      <c r="M446" s="189"/>
      <c r="N446" s="189"/>
    </row>
    <row r="447" spans="1:14" x14ac:dyDescent="0.2">
      <c r="A447" s="146" t="s">
        <v>1042</v>
      </c>
      <c r="B447" s="146" t="s">
        <v>1043</v>
      </c>
      <c r="C447" s="145" t="s">
        <v>20</v>
      </c>
      <c r="D447" s="145">
        <v>20</v>
      </c>
      <c r="E447" s="147">
        <v>60</v>
      </c>
      <c r="F447" s="147" t="s">
        <v>159</v>
      </c>
      <c r="G447" s="147">
        <v>40</v>
      </c>
      <c r="H447" s="147" t="s">
        <v>159</v>
      </c>
      <c r="I447" s="147">
        <v>20</v>
      </c>
      <c r="J447" s="148">
        <f t="shared" si="15"/>
        <v>4.8000000000000001E-2</v>
      </c>
      <c r="K447" s="148">
        <v>10.26</v>
      </c>
      <c r="L447" s="148">
        <f>8.4/D447</f>
        <v>0.42000000000000004</v>
      </c>
      <c r="M447" s="144">
        <v>6203423500</v>
      </c>
      <c r="N447" s="131" t="s">
        <v>108</v>
      </c>
    </row>
    <row r="448" spans="1:14" x14ac:dyDescent="0.2">
      <c r="A448" s="146" t="s">
        <v>1027</v>
      </c>
      <c r="B448" s="146" t="s">
        <v>1028</v>
      </c>
      <c r="C448" s="145" t="s">
        <v>20</v>
      </c>
      <c r="D448" s="145">
        <v>10</v>
      </c>
      <c r="E448" s="164">
        <v>40</v>
      </c>
      <c r="F448" s="164" t="s">
        <v>159</v>
      </c>
      <c r="G448" s="164">
        <v>34</v>
      </c>
      <c r="H448" s="164" t="s">
        <v>159</v>
      </c>
      <c r="I448" s="164">
        <v>21</v>
      </c>
      <c r="J448" s="163">
        <f t="shared" si="15"/>
        <v>2.8559999999999999E-2</v>
      </c>
      <c r="K448" s="163">
        <v>7</v>
      </c>
      <c r="L448" s="163">
        <f>6/D448</f>
        <v>0.6</v>
      </c>
      <c r="M448" s="143">
        <v>6203439000</v>
      </c>
      <c r="N448" s="131" t="s">
        <v>6</v>
      </c>
    </row>
    <row r="449" spans="1:14" x14ac:dyDescent="0.2">
      <c r="A449" s="197" t="s">
        <v>1037</v>
      </c>
      <c r="B449" s="197" t="s">
        <v>1038</v>
      </c>
      <c r="C449" s="145" t="s">
        <v>7</v>
      </c>
      <c r="D449" s="188">
        <v>10</v>
      </c>
      <c r="E449" s="164">
        <v>58</v>
      </c>
      <c r="F449" s="164" t="s">
        <v>159</v>
      </c>
      <c r="G449" s="164">
        <v>38</v>
      </c>
      <c r="H449" s="164" t="s">
        <v>159</v>
      </c>
      <c r="I449" s="164">
        <v>38</v>
      </c>
      <c r="J449" s="163">
        <f t="shared" si="15"/>
        <v>8.3751999999999993E-2</v>
      </c>
      <c r="K449" s="191">
        <v>19</v>
      </c>
      <c r="L449" s="191">
        <f>17/D449</f>
        <v>1.7</v>
      </c>
      <c r="M449" s="199">
        <v>6210400000</v>
      </c>
      <c r="N449" s="188" t="s">
        <v>6</v>
      </c>
    </row>
    <row r="450" spans="1:14" x14ac:dyDescent="0.2">
      <c r="A450" s="204"/>
      <c r="B450" s="204"/>
      <c r="C450" s="164" t="s">
        <v>168</v>
      </c>
      <c r="D450" s="189"/>
      <c r="E450" s="164">
        <v>60</v>
      </c>
      <c r="F450" s="164" t="s">
        <v>159</v>
      </c>
      <c r="G450" s="164">
        <v>40</v>
      </c>
      <c r="H450" s="164" t="s">
        <v>159</v>
      </c>
      <c r="I450" s="164">
        <v>38</v>
      </c>
      <c r="J450" s="163">
        <f t="shared" si="15"/>
        <v>9.1200000000000003E-2</v>
      </c>
      <c r="K450" s="193"/>
      <c r="L450" s="193"/>
      <c r="M450" s="200"/>
      <c r="N450" s="194"/>
    </row>
    <row r="451" spans="1:14" x14ac:dyDescent="0.2">
      <c r="A451" s="198"/>
      <c r="B451" s="198"/>
      <c r="C451" s="145" t="s">
        <v>485</v>
      </c>
      <c r="D451" s="145">
        <v>5</v>
      </c>
      <c r="E451" s="164">
        <v>60</v>
      </c>
      <c r="F451" s="164" t="s">
        <v>159</v>
      </c>
      <c r="G451" s="164">
        <v>40</v>
      </c>
      <c r="H451" s="164" t="s">
        <v>159</v>
      </c>
      <c r="I451" s="164">
        <v>22</v>
      </c>
      <c r="J451" s="163">
        <f t="shared" si="15"/>
        <v>5.28E-2</v>
      </c>
      <c r="K451" s="192"/>
      <c r="L451" s="192"/>
      <c r="M451" s="201"/>
      <c r="N451" s="189"/>
    </row>
    <row r="452" spans="1:14" x14ac:dyDescent="0.2">
      <c r="A452" s="146" t="s">
        <v>1039</v>
      </c>
      <c r="B452" s="146" t="s">
        <v>1040</v>
      </c>
      <c r="C452" s="145" t="s">
        <v>28</v>
      </c>
      <c r="D452" s="145">
        <v>10</v>
      </c>
      <c r="E452" s="165">
        <v>60</v>
      </c>
      <c r="F452" s="165" t="s">
        <v>159</v>
      </c>
      <c r="G452" s="165">
        <v>40</v>
      </c>
      <c r="H452" s="165" t="s">
        <v>159</v>
      </c>
      <c r="I452" s="165">
        <v>20</v>
      </c>
      <c r="J452" s="166">
        <f t="shared" si="15"/>
        <v>4.8000000000000001E-2</v>
      </c>
      <c r="K452" s="163">
        <v>8.3000000000000007</v>
      </c>
      <c r="L452" s="163">
        <f>7.3/D452</f>
        <v>0.73</v>
      </c>
      <c r="M452" s="143">
        <v>6203339000</v>
      </c>
      <c r="N452" s="131" t="s">
        <v>6</v>
      </c>
    </row>
    <row r="453" spans="1:14" x14ac:dyDescent="0.2">
      <c r="A453" s="175" t="s">
        <v>1049</v>
      </c>
      <c r="B453" s="175" t="s">
        <v>1069</v>
      </c>
      <c r="C453" s="176" t="s">
        <v>29</v>
      </c>
      <c r="D453" s="176">
        <v>25</v>
      </c>
      <c r="E453" s="54" t="s">
        <v>796</v>
      </c>
      <c r="F453" s="54" t="s">
        <v>159</v>
      </c>
      <c r="G453" s="54" t="s">
        <v>796</v>
      </c>
      <c r="H453" s="54" t="s">
        <v>159</v>
      </c>
      <c r="I453" s="54" t="s">
        <v>796</v>
      </c>
      <c r="J453" s="55" t="s">
        <v>796</v>
      </c>
      <c r="K453" s="55" t="s">
        <v>796</v>
      </c>
      <c r="L453" s="55" t="s">
        <v>796</v>
      </c>
      <c r="M453" s="179">
        <v>6110309100</v>
      </c>
      <c r="N453" s="173" t="s">
        <v>6</v>
      </c>
    </row>
    <row r="454" spans="1:14" x14ac:dyDescent="0.2">
      <c r="A454" s="175" t="s">
        <v>1050</v>
      </c>
      <c r="B454" s="175" t="s">
        <v>1073</v>
      </c>
      <c r="C454" s="176" t="s">
        <v>29</v>
      </c>
      <c r="D454" s="176">
        <v>10</v>
      </c>
      <c r="E454" s="54" t="s">
        <v>796</v>
      </c>
      <c r="F454" s="54" t="s">
        <v>159</v>
      </c>
      <c r="G454" s="54" t="s">
        <v>796</v>
      </c>
      <c r="H454" s="54" t="s">
        <v>159</v>
      </c>
      <c r="I454" s="54" t="s">
        <v>796</v>
      </c>
      <c r="J454" s="55" t="s">
        <v>796</v>
      </c>
      <c r="K454" s="55" t="s">
        <v>796</v>
      </c>
      <c r="L454" s="55" t="s">
        <v>796</v>
      </c>
      <c r="M454" s="179">
        <v>6201930000</v>
      </c>
      <c r="N454" s="173" t="s">
        <v>6</v>
      </c>
    </row>
    <row r="455" spans="1:14" x14ac:dyDescent="0.2">
      <c r="A455" s="175" t="s">
        <v>1051</v>
      </c>
      <c r="B455" s="175" t="s">
        <v>1070</v>
      </c>
      <c r="C455" s="176" t="s">
        <v>29</v>
      </c>
      <c r="D455" s="176">
        <v>25</v>
      </c>
      <c r="E455" s="54" t="s">
        <v>796</v>
      </c>
      <c r="F455" s="54" t="s">
        <v>159</v>
      </c>
      <c r="G455" s="54" t="s">
        <v>796</v>
      </c>
      <c r="H455" s="54" t="s">
        <v>159</v>
      </c>
      <c r="I455" s="54" t="s">
        <v>796</v>
      </c>
      <c r="J455" s="55" t="s">
        <v>796</v>
      </c>
      <c r="K455" s="55" t="s">
        <v>796</v>
      </c>
      <c r="L455" s="55" t="s">
        <v>796</v>
      </c>
      <c r="M455" s="179">
        <v>6105201000</v>
      </c>
      <c r="N455" s="173" t="s">
        <v>6</v>
      </c>
    </row>
    <row r="456" spans="1:14" x14ac:dyDescent="0.2">
      <c r="A456" s="175" t="s">
        <v>1052</v>
      </c>
      <c r="B456" s="175" t="s">
        <v>1071</v>
      </c>
      <c r="C456" s="176" t="s">
        <v>29</v>
      </c>
      <c r="D456" s="176">
        <v>25</v>
      </c>
      <c r="E456" s="54" t="s">
        <v>796</v>
      </c>
      <c r="F456" s="54" t="s">
        <v>159</v>
      </c>
      <c r="G456" s="54" t="s">
        <v>796</v>
      </c>
      <c r="H456" s="54" t="s">
        <v>159</v>
      </c>
      <c r="I456" s="54" t="s">
        <v>796</v>
      </c>
      <c r="J456" s="55" t="s">
        <v>796</v>
      </c>
      <c r="K456" s="55" t="s">
        <v>796</v>
      </c>
      <c r="L456" s="55" t="s">
        <v>796</v>
      </c>
      <c r="M456" s="179">
        <v>6109909000</v>
      </c>
      <c r="N456" s="173" t="s">
        <v>6</v>
      </c>
    </row>
    <row r="457" spans="1:14" x14ac:dyDescent="0.2">
      <c r="A457" s="175" t="s">
        <v>1053</v>
      </c>
      <c r="B457" s="175" t="s">
        <v>1072</v>
      </c>
      <c r="C457" s="176" t="s">
        <v>29</v>
      </c>
      <c r="D457" s="176">
        <v>10</v>
      </c>
      <c r="E457" s="54" t="s">
        <v>796</v>
      </c>
      <c r="F457" s="54" t="s">
        <v>159</v>
      </c>
      <c r="G457" s="54" t="s">
        <v>796</v>
      </c>
      <c r="H457" s="54" t="s">
        <v>159</v>
      </c>
      <c r="I457" s="54" t="s">
        <v>796</v>
      </c>
      <c r="J457" s="55" t="s">
        <v>796</v>
      </c>
      <c r="K457" s="55" t="s">
        <v>796</v>
      </c>
      <c r="L457" s="55" t="s">
        <v>796</v>
      </c>
      <c r="M457" s="179">
        <v>6103330000</v>
      </c>
      <c r="N457" s="173" t="s">
        <v>6</v>
      </c>
    </row>
    <row r="458" spans="1:14" x14ac:dyDescent="0.2">
      <c r="A458" s="175" t="s">
        <v>1054</v>
      </c>
      <c r="B458" s="175" t="s">
        <v>1074</v>
      </c>
      <c r="C458" s="176" t="s">
        <v>390</v>
      </c>
      <c r="D458" s="176">
        <v>10</v>
      </c>
      <c r="E458" s="54" t="s">
        <v>796</v>
      </c>
      <c r="F458" s="54" t="s">
        <v>159</v>
      </c>
      <c r="G458" s="54" t="s">
        <v>796</v>
      </c>
      <c r="H458" s="54" t="s">
        <v>159</v>
      </c>
      <c r="I458" s="54" t="s">
        <v>796</v>
      </c>
      <c r="J458" s="55" t="s">
        <v>796</v>
      </c>
      <c r="K458" s="55" t="s">
        <v>796</v>
      </c>
      <c r="L458" s="55" t="s">
        <v>796</v>
      </c>
      <c r="M458" s="179">
        <v>6203339000</v>
      </c>
      <c r="N458" s="173" t="s">
        <v>6</v>
      </c>
    </row>
    <row r="459" spans="1:14" x14ac:dyDescent="0.2">
      <c r="A459" s="175" t="s">
        <v>1055</v>
      </c>
      <c r="B459" s="175" t="s">
        <v>1075</v>
      </c>
      <c r="C459" s="176" t="s">
        <v>23</v>
      </c>
      <c r="D459" s="176">
        <v>20</v>
      </c>
      <c r="E459" s="54" t="s">
        <v>796</v>
      </c>
      <c r="F459" s="54" t="s">
        <v>159</v>
      </c>
      <c r="G459" s="54" t="s">
        <v>796</v>
      </c>
      <c r="H459" s="54" t="s">
        <v>159</v>
      </c>
      <c r="I459" s="54" t="s">
        <v>796</v>
      </c>
      <c r="J459" s="55" t="s">
        <v>796</v>
      </c>
      <c r="K459" s="55" t="s">
        <v>796</v>
      </c>
      <c r="L459" s="55" t="s">
        <v>796</v>
      </c>
      <c r="M459" s="179">
        <v>6204339000</v>
      </c>
      <c r="N459" s="176" t="s">
        <v>108</v>
      </c>
    </row>
    <row r="460" spans="1:14" x14ac:dyDescent="0.2">
      <c r="A460" s="175" t="s">
        <v>1056</v>
      </c>
      <c r="B460" s="175" t="s">
        <v>1076</v>
      </c>
      <c r="C460" s="176" t="s">
        <v>29</v>
      </c>
      <c r="D460" s="176">
        <v>20</v>
      </c>
      <c r="E460" s="54" t="s">
        <v>796</v>
      </c>
      <c r="F460" s="54" t="s">
        <v>159</v>
      </c>
      <c r="G460" s="54" t="s">
        <v>796</v>
      </c>
      <c r="H460" s="54" t="s">
        <v>159</v>
      </c>
      <c r="I460" s="54" t="s">
        <v>796</v>
      </c>
      <c r="J460" s="55" t="s">
        <v>796</v>
      </c>
      <c r="K460" s="55" t="s">
        <v>796</v>
      </c>
      <c r="L460" s="55" t="s">
        <v>796</v>
      </c>
      <c r="M460" s="179">
        <v>6203339000</v>
      </c>
      <c r="N460" s="176" t="s">
        <v>108</v>
      </c>
    </row>
    <row r="461" spans="1:14" x14ac:dyDescent="0.2">
      <c r="A461" s="175" t="s">
        <v>1057</v>
      </c>
      <c r="B461" s="175" t="s">
        <v>1077</v>
      </c>
      <c r="C461" s="176" t="s">
        <v>23</v>
      </c>
      <c r="D461" s="176">
        <v>20</v>
      </c>
      <c r="E461" s="54" t="s">
        <v>796</v>
      </c>
      <c r="F461" s="54" t="s">
        <v>159</v>
      </c>
      <c r="G461" s="54" t="s">
        <v>796</v>
      </c>
      <c r="H461" s="54" t="s">
        <v>159</v>
      </c>
      <c r="I461" s="54" t="s">
        <v>796</v>
      </c>
      <c r="J461" s="55" t="s">
        <v>796</v>
      </c>
      <c r="K461" s="55" t="s">
        <v>796</v>
      </c>
      <c r="L461" s="55" t="s">
        <v>796</v>
      </c>
      <c r="M461" s="179">
        <v>6204339000</v>
      </c>
      <c r="N461" s="176" t="s">
        <v>108</v>
      </c>
    </row>
    <row r="462" spans="1:14" x14ac:dyDescent="0.2">
      <c r="A462" s="175" t="s">
        <v>1058</v>
      </c>
      <c r="B462" s="175" t="s">
        <v>1078</v>
      </c>
      <c r="C462" s="176" t="s">
        <v>29</v>
      </c>
      <c r="D462" s="176">
        <v>20</v>
      </c>
      <c r="E462" s="54" t="s">
        <v>796</v>
      </c>
      <c r="F462" s="54" t="s">
        <v>159</v>
      </c>
      <c r="G462" s="54" t="s">
        <v>796</v>
      </c>
      <c r="H462" s="54" t="s">
        <v>159</v>
      </c>
      <c r="I462" s="54" t="s">
        <v>796</v>
      </c>
      <c r="J462" s="55" t="s">
        <v>796</v>
      </c>
      <c r="K462" s="55" t="s">
        <v>796</v>
      </c>
      <c r="L462" s="55" t="s">
        <v>796</v>
      </c>
      <c r="M462" s="179">
        <v>6203339000</v>
      </c>
      <c r="N462" s="176" t="s">
        <v>108</v>
      </c>
    </row>
    <row r="463" spans="1:14" x14ac:dyDescent="0.2">
      <c r="A463" s="175" t="s">
        <v>1059</v>
      </c>
      <c r="B463" s="175" t="s">
        <v>1079</v>
      </c>
      <c r="C463" s="176" t="s">
        <v>390</v>
      </c>
      <c r="D463" s="176">
        <v>20</v>
      </c>
      <c r="E463" s="54" t="s">
        <v>796</v>
      </c>
      <c r="F463" s="54" t="s">
        <v>159</v>
      </c>
      <c r="G463" s="54" t="s">
        <v>796</v>
      </c>
      <c r="H463" s="54" t="s">
        <v>159</v>
      </c>
      <c r="I463" s="54" t="s">
        <v>796</v>
      </c>
      <c r="J463" s="55" t="s">
        <v>796</v>
      </c>
      <c r="K463" s="55" t="s">
        <v>796</v>
      </c>
      <c r="L463" s="55" t="s">
        <v>796</v>
      </c>
      <c r="M463" s="179">
        <v>6103390090</v>
      </c>
      <c r="N463" s="176" t="s">
        <v>108</v>
      </c>
    </row>
    <row r="464" spans="1:14" x14ac:dyDescent="0.2">
      <c r="A464" s="175" t="s">
        <v>1060</v>
      </c>
      <c r="B464" s="175" t="s">
        <v>1080</v>
      </c>
      <c r="C464" s="176" t="s">
        <v>390</v>
      </c>
      <c r="D464" s="176">
        <v>20</v>
      </c>
      <c r="E464" s="54" t="s">
        <v>796</v>
      </c>
      <c r="F464" s="54" t="s">
        <v>159</v>
      </c>
      <c r="G464" s="54" t="s">
        <v>796</v>
      </c>
      <c r="H464" s="54" t="s">
        <v>159</v>
      </c>
      <c r="I464" s="54" t="s">
        <v>796</v>
      </c>
      <c r="J464" s="55" t="s">
        <v>796</v>
      </c>
      <c r="K464" s="55" t="s">
        <v>796</v>
      </c>
      <c r="L464" s="55" t="s">
        <v>796</v>
      </c>
      <c r="M464" s="179">
        <v>6103390090</v>
      </c>
      <c r="N464" s="176" t="s">
        <v>108</v>
      </c>
    </row>
    <row r="465" spans="1:14" x14ac:dyDescent="0.2">
      <c r="A465" s="175" t="s">
        <v>1061</v>
      </c>
      <c r="B465" s="175" t="s">
        <v>1081</v>
      </c>
      <c r="C465" s="176" t="s">
        <v>8</v>
      </c>
      <c r="D465" s="176">
        <v>15</v>
      </c>
      <c r="E465" s="54" t="s">
        <v>796</v>
      </c>
      <c r="F465" s="54" t="s">
        <v>159</v>
      </c>
      <c r="G465" s="54" t="s">
        <v>796</v>
      </c>
      <c r="H465" s="54" t="s">
        <v>159</v>
      </c>
      <c r="I465" s="54" t="s">
        <v>796</v>
      </c>
      <c r="J465" s="55" t="s">
        <v>796</v>
      </c>
      <c r="K465" s="55" t="s">
        <v>796</v>
      </c>
      <c r="L465" s="55" t="s">
        <v>796</v>
      </c>
      <c r="M465" s="179">
        <v>6103390090</v>
      </c>
      <c r="N465" s="176" t="s">
        <v>108</v>
      </c>
    </row>
    <row r="466" spans="1:14" x14ac:dyDescent="0.2">
      <c r="A466" s="175" t="s">
        <v>1062</v>
      </c>
      <c r="B466" s="175" t="s">
        <v>1082</v>
      </c>
      <c r="C466" s="176" t="s">
        <v>29</v>
      </c>
      <c r="D466" s="176">
        <v>20</v>
      </c>
      <c r="E466" s="54" t="s">
        <v>796</v>
      </c>
      <c r="F466" s="54" t="s">
        <v>159</v>
      </c>
      <c r="G466" s="54" t="s">
        <v>796</v>
      </c>
      <c r="H466" s="54" t="s">
        <v>159</v>
      </c>
      <c r="I466" s="54" t="s">
        <v>796</v>
      </c>
      <c r="J466" s="55" t="s">
        <v>796</v>
      </c>
      <c r="K466" s="55" t="s">
        <v>796</v>
      </c>
      <c r="L466" s="55" t="s">
        <v>796</v>
      </c>
      <c r="M466" s="179">
        <v>6103390090</v>
      </c>
      <c r="N466" s="176" t="s">
        <v>108</v>
      </c>
    </row>
    <row r="467" spans="1:14" x14ac:dyDescent="0.2">
      <c r="A467" s="175" t="s">
        <v>1063</v>
      </c>
      <c r="B467" s="175" t="s">
        <v>1083</v>
      </c>
      <c r="C467" s="176" t="s">
        <v>20</v>
      </c>
      <c r="D467" s="176">
        <v>15</v>
      </c>
      <c r="E467" s="54" t="s">
        <v>796</v>
      </c>
      <c r="F467" s="54" t="s">
        <v>159</v>
      </c>
      <c r="G467" s="54" t="s">
        <v>796</v>
      </c>
      <c r="H467" s="54" t="s">
        <v>159</v>
      </c>
      <c r="I467" s="54" t="s">
        <v>796</v>
      </c>
      <c r="J467" s="55" t="s">
        <v>796</v>
      </c>
      <c r="K467" s="55" t="s">
        <v>796</v>
      </c>
      <c r="L467" s="55" t="s">
        <v>796</v>
      </c>
      <c r="M467" s="179">
        <v>6103390090</v>
      </c>
      <c r="N467" s="176" t="s">
        <v>108</v>
      </c>
    </row>
  </sheetData>
  <autoFilter ref="A1:R452">
    <filterColumn colId="4" showButton="0"/>
    <filterColumn colId="5" showButton="0"/>
    <filterColumn colId="6" showButton="0"/>
    <filterColumn colId="7" showButton="0"/>
  </autoFilter>
  <mergeCells count="755">
    <mergeCell ref="D449:D450"/>
    <mergeCell ref="A377:A378"/>
    <mergeCell ref="A338:A340"/>
    <mergeCell ref="A437:A438"/>
    <mergeCell ref="D199:D201"/>
    <mergeCell ref="L449:L451"/>
    <mergeCell ref="K449:K451"/>
    <mergeCell ref="A287:A288"/>
    <mergeCell ref="B287:B288"/>
    <mergeCell ref="D287:D288"/>
    <mergeCell ref="K287:K288"/>
    <mergeCell ref="L287:L288"/>
    <mergeCell ref="B406:B408"/>
    <mergeCell ref="B422:B424"/>
    <mergeCell ref="D422:D424"/>
    <mergeCell ref="B345:B346"/>
    <mergeCell ref="D345:D346"/>
    <mergeCell ref="B420:B421"/>
    <mergeCell ref="L304:L305"/>
    <mergeCell ref="L364:L365"/>
    <mergeCell ref="K366:K367"/>
    <mergeCell ref="L366:L367"/>
    <mergeCell ref="K355:K356"/>
    <mergeCell ref="K362:K363"/>
    <mergeCell ref="L370:L371"/>
    <mergeCell ref="G370:G371"/>
    <mergeCell ref="H370:H371"/>
    <mergeCell ref="L359:L360"/>
    <mergeCell ref="B437:B438"/>
    <mergeCell ref="D437:D438"/>
    <mergeCell ref="D386:D387"/>
    <mergeCell ref="F386:F387"/>
    <mergeCell ref="F370:F371"/>
    <mergeCell ref="B412:B414"/>
    <mergeCell ref="L362:L363"/>
    <mergeCell ref="L391:L392"/>
    <mergeCell ref="I370:I371"/>
    <mergeCell ref="B362:B363"/>
    <mergeCell ref="D362:D363"/>
    <mergeCell ref="B359:B360"/>
    <mergeCell ref="A368:A369"/>
    <mergeCell ref="N445:N446"/>
    <mergeCell ref="A439:A440"/>
    <mergeCell ref="B439:B440"/>
    <mergeCell ref="D439:D440"/>
    <mergeCell ref="K439:K440"/>
    <mergeCell ref="L439:L440"/>
    <mergeCell ref="M439:M440"/>
    <mergeCell ref="N439:N440"/>
    <mergeCell ref="A445:A446"/>
    <mergeCell ref="B445:B446"/>
    <mergeCell ref="D445:D446"/>
    <mergeCell ref="K445:K446"/>
    <mergeCell ref="L445:L446"/>
    <mergeCell ref="A406:A408"/>
    <mergeCell ref="B428:B430"/>
    <mergeCell ref="D428:D430"/>
    <mergeCell ref="A431:A434"/>
    <mergeCell ref="B431:B434"/>
    <mergeCell ref="D425:D427"/>
    <mergeCell ref="M445:M446"/>
    <mergeCell ref="D431:D434"/>
    <mergeCell ref="M431:M434"/>
    <mergeCell ref="M420:M421"/>
    <mergeCell ref="A391:A392"/>
    <mergeCell ref="A420:A421"/>
    <mergeCell ref="E370:E371"/>
    <mergeCell ref="M370:M371"/>
    <mergeCell ref="G391:G392"/>
    <mergeCell ref="H391:H392"/>
    <mergeCell ref="E386:E387"/>
    <mergeCell ref="H386:H387"/>
    <mergeCell ref="G386:G387"/>
    <mergeCell ref="I386:I387"/>
    <mergeCell ref="E391:E392"/>
    <mergeCell ref="I391:I392"/>
    <mergeCell ref="C386:C387"/>
    <mergeCell ref="B377:B378"/>
    <mergeCell ref="M409:M411"/>
    <mergeCell ref="C370:C371"/>
    <mergeCell ref="D377:D378"/>
    <mergeCell ref="B370:B371"/>
    <mergeCell ref="D402:D403"/>
    <mergeCell ref="B402:B403"/>
    <mergeCell ref="D370:D371"/>
    <mergeCell ref="B391:B392"/>
    <mergeCell ref="C391:C392"/>
    <mergeCell ref="K370:K371"/>
    <mergeCell ref="N431:N434"/>
    <mergeCell ref="M428:M430"/>
    <mergeCell ref="M425:M427"/>
    <mergeCell ref="N425:N427"/>
    <mergeCell ref="K368:K369"/>
    <mergeCell ref="L368:L369"/>
    <mergeCell ref="L386:L387"/>
    <mergeCell ref="J391:J392"/>
    <mergeCell ref="N357:N358"/>
    <mergeCell ref="N422:N424"/>
    <mergeCell ref="N418:N419"/>
    <mergeCell ref="N368:N369"/>
    <mergeCell ref="J386:J387"/>
    <mergeCell ref="K391:K392"/>
    <mergeCell ref="K386:K387"/>
    <mergeCell ref="M366:M367"/>
    <mergeCell ref="M422:M424"/>
    <mergeCell ref="K364:K365"/>
    <mergeCell ref="K357:K358"/>
    <mergeCell ref="N391:N392"/>
    <mergeCell ref="N364:N365"/>
    <mergeCell ref="N362:N363"/>
    <mergeCell ref="N366:N367"/>
    <mergeCell ref="M368:M369"/>
    <mergeCell ref="A357:A358"/>
    <mergeCell ref="B323:B324"/>
    <mergeCell ref="B366:B367"/>
    <mergeCell ref="K330:K331"/>
    <mergeCell ref="A345:A346"/>
    <mergeCell ref="A366:A367"/>
    <mergeCell ref="D366:D367"/>
    <mergeCell ref="A364:A365"/>
    <mergeCell ref="B364:B365"/>
    <mergeCell ref="D364:D365"/>
    <mergeCell ref="D330:D331"/>
    <mergeCell ref="D343:D344"/>
    <mergeCell ref="D347:D349"/>
    <mergeCell ref="B357:B358"/>
    <mergeCell ref="B334:B335"/>
    <mergeCell ref="B330:B331"/>
    <mergeCell ref="B351:B352"/>
    <mergeCell ref="D355:D356"/>
    <mergeCell ref="K347:K348"/>
    <mergeCell ref="A359:A360"/>
    <mergeCell ref="B338:B340"/>
    <mergeCell ref="D359:D360"/>
    <mergeCell ref="K359:K360"/>
    <mergeCell ref="D338:D340"/>
    <mergeCell ref="A304:A305"/>
    <mergeCell ref="A299:A300"/>
    <mergeCell ref="B317:B318"/>
    <mergeCell ref="D319:D320"/>
    <mergeCell ref="D321:D322"/>
    <mergeCell ref="B321:B322"/>
    <mergeCell ref="A311:A314"/>
    <mergeCell ref="B295:B296"/>
    <mergeCell ref="A301:A302"/>
    <mergeCell ref="B301:B302"/>
    <mergeCell ref="B304:B305"/>
    <mergeCell ref="B311:B314"/>
    <mergeCell ref="B297:B298"/>
    <mergeCell ref="B319:B320"/>
    <mergeCell ref="A321:A322"/>
    <mergeCell ref="A317:A318"/>
    <mergeCell ref="D304:D305"/>
    <mergeCell ref="B299:B300"/>
    <mergeCell ref="A297:A298"/>
    <mergeCell ref="A307:A308"/>
    <mergeCell ref="A289:A290"/>
    <mergeCell ref="B307:B308"/>
    <mergeCell ref="D307:D308"/>
    <mergeCell ref="M50:M51"/>
    <mergeCell ref="M55:M56"/>
    <mergeCell ref="N55:N56"/>
    <mergeCell ref="N50:N51"/>
    <mergeCell ref="M39:M41"/>
    <mergeCell ref="B269:B270"/>
    <mergeCell ref="A293:A294"/>
    <mergeCell ref="A291:A292"/>
    <mergeCell ref="A253:A254"/>
    <mergeCell ref="A267:A268"/>
    <mergeCell ref="D253:D254"/>
    <mergeCell ref="A257:A258"/>
    <mergeCell ref="B257:B258"/>
    <mergeCell ref="D255:D256"/>
    <mergeCell ref="D269:D270"/>
    <mergeCell ref="A275:A276"/>
    <mergeCell ref="B275:B276"/>
    <mergeCell ref="D275:D276"/>
    <mergeCell ref="A278:A279"/>
    <mergeCell ref="B278:B279"/>
    <mergeCell ref="A295:A296"/>
    <mergeCell ref="B173:B174"/>
    <mergeCell ref="D107:D108"/>
    <mergeCell ref="D137:D139"/>
    <mergeCell ref="D81:D82"/>
    <mergeCell ref="L61:L63"/>
    <mergeCell ref="L74:L76"/>
    <mergeCell ref="L89:L90"/>
    <mergeCell ref="B83:B84"/>
    <mergeCell ref="L317:L318"/>
    <mergeCell ref="D257:D258"/>
    <mergeCell ref="D83:D84"/>
    <mergeCell ref="K83:K84"/>
    <mergeCell ref="L83:L84"/>
    <mergeCell ref="B81:B82"/>
    <mergeCell ref="B87:B88"/>
    <mergeCell ref="B85:B86"/>
    <mergeCell ref="L87:L88"/>
    <mergeCell ref="D85:D86"/>
    <mergeCell ref="L81:L82"/>
    <mergeCell ref="L85:L86"/>
    <mergeCell ref="K85:K86"/>
    <mergeCell ref="D87:D88"/>
    <mergeCell ref="K87:K88"/>
    <mergeCell ref="K81:K82"/>
    <mergeCell ref="B289:B290"/>
    <mergeCell ref="L307:L308"/>
    <mergeCell ref="L319:L320"/>
    <mergeCell ref="K307:K308"/>
    <mergeCell ref="L223:L224"/>
    <mergeCell ref="D242:D243"/>
    <mergeCell ref="M246:M249"/>
    <mergeCell ref="D244:D245"/>
    <mergeCell ref="B244:B245"/>
    <mergeCell ref="B223:B224"/>
    <mergeCell ref="K237:K238"/>
    <mergeCell ref="K246:K249"/>
    <mergeCell ref="K255:K256"/>
    <mergeCell ref="D246:D249"/>
    <mergeCell ref="K223:K224"/>
    <mergeCell ref="B253:B254"/>
    <mergeCell ref="M293:M294"/>
    <mergeCell ref="M267:M268"/>
    <mergeCell ref="L255:L256"/>
    <mergeCell ref="M283:M284"/>
    <mergeCell ref="M251:M252"/>
    <mergeCell ref="N370:N371"/>
    <mergeCell ref="M377:M378"/>
    <mergeCell ref="N377:N378"/>
    <mergeCell ref="M345:M346"/>
    <mergeCell ref="N345:N346"/>
    <mergeCell ref="M364:M365"/>
    <mergeCell ref="M359:M360"/>
    <mergeCell ref="M347:M349"/>
    <mergeCell ref="M351:M352"/>
    <mergeCell ref="M355:M356"/>
    <mergeCell ref="M357:M358"/>
    <mergeCell ref="M32:M33"/>
    <mergeCell ref="M44:M45"/>
    <mergeCell ref="M52:M53"/>
    <mergeCell ref="N59:N60"/>
    <mergeCell ref="N74:N76"/>
    <mergeCell ref="N165:N166"/>
    <mergeCell ref="N27:N29"/>
    <mergeCell ref="M61:M63"/>
    <mergeCell ref="N81:N82"/>
    <mergeCell ref="M74:M76"/>
    <mergeCell ref="N39:N41"/>
    <mergeCell ref="N42:N43"/>
    <mergeCell ref="N46:N49"/>
    <mergeCell ref="N52:N53"/>
    <mergeCell ref="M46:M49"/>
    <mergeCell ref="N83:N84"/>
    <mergeCell ref="M59:M60"/>
    <mergeCell ref="M81:M82"/>
    <mergeCell ref="M83:M84"/>
    <mergeCell ref="M85:M86"/>
    <mergeCell ref="A265:A266"/>
    <mergeCell ref="A255:A256"/>
    <mergeCell ref="D278:D279"/>
    <mergeCell ref="A261:A264"/>
    <mergeCell ref="B265:B266"/>
    <mergeCell ref="L246:L249"/>
    <mergeCell ref="L237:L238"/>
    <mergeCell ref="P1:P2"/>
    <mergeCell ref="M255:M256"/>
    <mergeCell ref="N178:N180"/>
    <mergeCell ref="N215:N216"/>
    <mergeCell ref="N246:N249"/>
    <mergeCell ref="N212:N213"/>
    <mergeCell ref="M195:M197"/>
    <mergeCell ref="M219:M220"/>
    <mergeCell ref="M229:M230"/>
    <mergeCell ref="N1:N2"/>
    <mergeCell ref="M1:M2"/>
    <mergeCell ref="M13:M14"/>
    <mergeCell ref="N13:N14"/>
    <mergeCell ref="N44:N45"/>
    <mergeCell ref="N36:N37"/>
    <mergeCell ref="N32:N33"/>
    <mergeCell ref="M42:M43"/>
    <mergeCell ref="B212:B213"/>
    <mergeCell ref="B215:B216"/>
    <mergeCell ref="A251:A252"/>
    <mergeCell ref="A244:A245"/>
    <mergeCell ref="B246:B249"/>
    <mergeCell ref="A246:A249"/>
    <mergeCell ref="K212:K213"/>
    <mergeCell ref="K304:K305"/>
    <mergeCell ref="B255:B256"/>
    <mergeCell ref="B293:B294"/>
    <mergeCell ref="D267:D268"/>
    <mergeCell ref="D251:D252"/>
    <mergeCell ref="K261:K264"/>
    <mergeCell ref="B267:B268"/>
    <mergeCell ref="B283:B284"/>
    <mergeCell ref="B291:B292"/>
    <mergeCell ref="D261:D264"/>
    <mergeCell ref="B261:B264"/>
    <mergeCell ref="B251:B252"/>
    <mergeCell ref="A215:A216"/>
    <mergeCell ref="B237:B238"/>
    <mergeCell ref="B242:B243"/>
    <mergeCell ref="A229:A230"/>
    <mergeCell ref="A283:A284"/>
    <mergeCell ref="A242:A243"/>
    <mergeCell ref="A184:A186"/>
    <mergeCell ref="A191:A192"/>
    <mergeCell ref="B175:B177"/>
    <mergeCell ref="A181:A183"/>
    <mergeCell ref="B205:B206"/>
    <mergeCell ref="B178:B180"/>
    <mergeCell ref="A199:A201"/>
    <mergeCell ref="B199:B201"/>
    <mergeCell ref="B203:B204"/>
    <mergeCell ref="A175:A177"/>
    <mergeCell ref="B184:B186"/>
    <mergeCell ref="A195:A197"/>
    <mergeCell ref="B195:B197"/>
    <mergeCell ref="A209:A211"/>
    <mergeCell ref="B209:B211"/>
    <mergeCell ref="A237:A238"/>
    <mergeCell ref="B232:B233"/>
    <mergeCell ref="A223:A224"/>
    <mergeCell ref="A232:A233"/>
    <mergeCell ref="B229:B230"/>
    <mergeCell ref="B219:B220"/>
    <mergeCell ref="A219:A220"/>
    <mergeCell ref="A212:A213"/>
    <mergeCell ref="A112:A113"/>
    <mergeCell ref="B112:B113"/>
    <mergeCell ref="A107:A108"/>
    <mergeCell ref="A89:A90"/>
    <mergeCell ref="D112:D113"/>
    <mergeCell ref="B107:B108"/>
    <mergeCell ref="A97:A99"/>
    <mergeCell ref="B97:B99"/>
    <mergeCell ref="D97:D99"/>
    <mergeCell ref="D89:D90"/>
    <mergeCell ref="A81:A82"/>
    <mergeCell ref="B89:B90"/>
    <mergeCell ref="B50:B51"/>
    <mergeCell ref="D50:D51"/>
    <mergeCell ref="A46:A49"/>
    <mergeCell ref="A39:A41"/>
    <mergeCell ref="K39:K41"/>
    <mergeCell ref="A85:A86"/>
    <mergeCell ref="A87:A88"/>
    <mergeCell ref="A83:A84"/>
    <mergeCell ref="D72:D73"/>
    <mergeCell ref="K59:K60"/>
    <mergeCell ref="A52:A53"/>
    <mergeCell ref="A61:A63"/>
    <mergeCell ref="B61:B63"/>
    <mergeCell ref="D61:D63"/>
    <mergeCell ref="K61:K63"/>
    <mergeCell ref="A74:A76"/>
    <mergeCell ref="B74:B76"/>
    <mergeCell ref="D74:D76"/>
    <mergeCell ref="K74:K76"/>
    <mergeCell ref="B59:B60"/>
    <mergeCell ref="D59:D60"/>
    <mergeCell ref="A55:A56"/>
    <mergeCell ref="B55:B56"/>
    <mergeCell ref="D55:D56"/>
    <mergeCell ref="B36:B37"/>
    <mergeCell ref="D36:D37"/>
    <mergeCell ref="A36:A37"/>
    <mergeCell ref="B52:B53"/>
    <mergeCell ref="D52:D53"/>
    <mergeCell ref="K52:K53"/>
    <mergeCell ref="L52:L53"/>
    <mergeCell ref="L39:L41"/>
    <mergeCell ref="B39:B41"/>
    <mergeCell ref="D42:D43"/>
    <mergeCell ref="L50:L51"/>
    <mergeCell ref="D39:D41"/>
    <mergeCell ref="A50:A51"/>
    <mergeCell ref="K50:K51"/>
    <mergeCell ref="A44:A45"/>
    <mergeCell ref="B44:B45"/>
    <mergeCell ref="D44:D45"/>
    <mergeCell ref="K42:K43"/>
    <mergeCell ref="L42:L43"/>
    <mergeCell ref="B46:B49"/>
    <mergeCell ref="D46:D48"/>
    <mergeCell ref="K47:K49"/>
    <mergeCell ref="A17:A18"/>
    <mergeCell ref="B21:B22"/>
    <mergeCell ref="A1:A2"/>
    <mergeCell ref="A13:A14"/>
    <mergeCell ref="B13:B14"/>
    <mergeCell ref="A21:A22"/>
    <mergeCell ref="C27:C29"/>
    <mergeCell ref="A27:A29"/>
    <mergeCell ref="B17:B18"/>
    <mergeCell ref="C1:C2"/>
    <mergeCell ref="B1:B2"/>
    <mergeCell ref="B27:B29"/>
    <mergeCell ref="E27:E29"/>
    <mergeCell ref="D27:D29"/>
    <mergeCell ref="D32:D33"/>
    <mergeCell ref="F27:F29"/>
    <mergeCell ref="G27:G29"/>
    <mergeCell ref="B32:B33"/>
    <mergeCell ref="A42:A43"/>
    <mergeCell ref="B42:B43"/>
    <mergeCell ref="A32:A33"/>
    <mergeCell ref="K55:K56"/>
    <mergeCell ref="L55:L56"/>
    <mergeCell ref="L1:L2"/>
    <mergeCell ref="D13:D14"/>
    <mergeCell ref="K13:K14"/>
    <mergeCell ref="L13:L14"/>
    <mergeCell ref="J27:J29"/>
    <mergeCell ref="E1:I1"/>
    <mergeCell ref="J1:J2"/>
    <mergeCell ref="K1:K2"/>
    <mergeCell ref="D21:D22"/>
    <mergeCell ref="D17:D18"/>
    <mergeCell ref="D1:D2"/>
    <mergeCell ref="K32:K33"/>
    <mergeCell ref="L47:L49"/>
    <mergeCell ref="L32:L33"/>
    <mergeCell ref="H27:H29"/>
    <mergeCell ref="K21:K22"/>
    <mergeCell ref="K27:K29"/>
    <mergeCell ref="L21:L22"/>
    <mergeCell ref="L17:L18"/>
    <mergeCell ref="L27:L29"/>
    <mergeCell ref="K17:K18"/>
    <mergeCell ref="I27:I29"/>
    <mergeCell ref="A59:A60"/>
    <mergeCell ref="L72:L73"/>
    <mergeCell ref="M72:M73"/>
    <mergeCell ref="N72:N73"/>
    <mergeCell ref="N67:N68"/>
    <mergeCell ref="A69:A70"/>
    <mergeCell ref="B69:B70"/>
    <mergeCell ref="D69:D70"/>
    <mergeCell ref="K69:K70"/>
    <mergeCell ref="L69:L70"/>
    <mergeCell ref="K72:K73"/>
    <mergeCell ref="M69:M70"/>
    <mergeCell ref="N69:N70"/>
    <mergeCell ref="A67:A68"/>
    <mergeCell ref="B67:B68"/>
    <mergeCell ref="D67:D68"/>
    <mergeCell ref="K67:K68"/>
    <mergeCell ref="L67:L68"/>
    <mergeCell ref="M67:M68"/>
    <mergeCell ref="A72:A73"/>
    <mergeCell ref="B72:B73"/>
    <mergeCell ref="L59:L60"/>
    <mergeCell ref="N61:N63"/>
    <mergeCell ref="K89:K90"/>
    <mergeCell ref="K107:K108"/>
    <mergeCell ref="N147:N148"/>
    <mergeCell ref="M152:M153"/>
    <mergeCell ref="L152:L153"/>
    <mergeCell ref="L147:L148"/>
    <mergeCell ref="M147:M148"/>
    <mergeCell ref="K112:K113"/>
    <mergeCell ref="L112:L113"/>
    <mergeCell ref="M112:M113"/>
    <mergeCell ref="M107:M108"/>
    <mergeCell ref="M137:M139"/>
    <mergeCell ref="L107:L108"/>
    <mergeCell ref="K97:K99"/>
    <mergeCell ref="L97:L99"/>
    <mergeCell ref="N97:N99"/>
    <mergeCell ref="L156:L158"/>
    <mergeCell ref="A156:A158"/>
    <mergeCell ref="B152:B153"/>
    <mergeCell ref="D152:D153"/>
    <mergeCell ref="B137:B139"/>
    <mergeCell ref="A137:A139"/>
    <mergeCell ref="L137:L139"/>
    <mergeCell ref="A147:A148"/>
    <mergeCell ref="B147:B148"/>
    <mergeCell ref="D147:D148"/>
    <mergeCell ref="K147:K148"/>
    <mergeCell ref="K137:K139"/>
    <mergeCell ref="B171:B172"/>
    <mergeCell ref="B181:B183"/>
    <mergeCell ref="A178:A180"/>
    <mergeCell ref="A171:A172"/>
    <mergeCell ref="A207:A208"/>
    <mergeCell ref="A205:A206"/>
    <mergeCell ref="A203:A204"/>
    <mergeCell ref="K160:K161"/>
    <mergeCell ref="K152:K153"/>
    <mergeCell ref="D156:D158"/>
    <mergeCell ref="A168:A169"/>
    <mergeCell ref="B160:B161"/>
    <mergeCell ref="B156:B158"/>
    <mergeCell ref="D165:D166"/>
    <mergeCell ref="A165:A166"/>
    <mergeCell ref="A152:A153"/>
    <mergeCell ref="D160:D161"/>
    <mergeCell ref="D168:D169"/>
    <mergeCell ref="A160:A161"/>
    <mergeCell ref="B165:B166"/>
    <mergeCell ref="K156:K158"/>
    <mergeCell ref="K165:K166"/>
    <mergeCell ref="B168:B169"/>
    <mergeCell ref="A173:A174"/>
    <mergeCell ref="D184:D186"/>
    <mergeCell ref="B191:B192"/>
    <mergeCell ref="D203:D204"/>
    <mergeCell ref="L203:L204"/>
    <mergeCell ref="D191:D192"/>
    <mergeCell ref="D195:D196"/>
    <mergeCell ref="B207:B208"/>
    <mergeCell ref="D207:D208"/>
    <mergeCell ref="K207:K208"/>
    <mergeCell ref="K203:K204"/>
    <mergeCell ref="K205:K206"/>
    <mergeCell ref="L209:L211"/>
    <mergeCell ref="L207:L208"/>
    <mergeCell ref="L205:L206"/>
    <mergeCell ref="D212:D213"/>
    <mergeCell ref="D215:D216"/>
    <mergeCell ref="D205:D206"/>
    <mergeCell ref="D209:D211"/>
    <mergeCell ref="K215:K216"/>
    <mergeCell ref="N237:N238"/>
    <mergeCell ref="M209:M211"/>
    <mergeCell ref="L215:L216"/>
    <mergeCell ref="M223:M224"/>
    <mergeCell ref="L229:L230"/>
    <mergeCell ref="D229:D230"/>
    <mergeCell ref="D223:D224"/>
    <mergeCell ref="M207:M208"/>
    <mergeCell ref="K209:K211"/>
    <mergeCell ref="D232:D233"/>
    <mergeCell ref="D237:D238"/>
    <mergeCell ref="D219:D220"/>
    <mergeCell ref="M168:M169"/>
    <mergeCell ref="N181:N183"/>
    <mergeCell ref="M205:M206"/>
    <mergeCell ref="M181:M183"/>
    <mergeCell ref="N175:N177"/>
    <mergeCell ref="N184:N186"/>
    <mergeCell ref="N173:N174"/>
    <mergeCell ref="M175:M177"/>
    <mergeCell ref="M173:M174"/>
    <mergeCell ref="M191:M192"/>
    <mergeCell ref="M178:M180"/>
    <mergeCell ref="M203:M204"/>
    <mergeCell ref="N205:N206"/>
    <mergeCell ref="M184:M186"/>
    <mergeCell ref="N171:N172"/>
    <mergeCell ref="N199:N201"/>
    <mergeCell ref="N168:N169"/>
    <mergeCell ref="N261:N264"/>
    <mergeCell ref="N289:N290"/>
    <mergeCell ref="N299:N300"/>
    <mergeCell ref="N209:N211"/>
    <mergeCell ref="M215:M216"/>
    <mergeCell ref="M253:M254"/>
    <mergeCell ref="M232:M233"/>
    <mergeCell ref="M242:M243"/>
    <mergeCell ref="M237:M238"/>
    <mergeCell ref="M244:M245"/>
    <mergeCell ref="N242:N243"/>
    <mergeCell ref="N283:N284"/>
    <mergeCell ref="N297:N298"/>
    <mergeCell ref="N291:N292"/>
    <mergeCell ref="N293:N294"/>
    <mergeCell ref="N269:N270"/>
    <mergeCell ref="N255:N256"/>
    <mergeCell ref="N232:N233"/>
    <mergeCell ref="M21:M22"/>
    <mergeCell ref="M36:M37"/>
    <mergeCell ref="N191:N192"/>
    <mergeCell ref="M97:M99"/>
    <mergeCell ref="M304:M305"/>
    <mergeCell ref="N257:N258"/>
    <mergeCell ref="N278:N279"/>
    <mergeCell ref="M275:M276"/>
    <mergeCell ref="N275:N276"/>
    <mergeCell ref="M278:M279"/>
    <mergeCell ref="M269:M270"/>
    <mergeCell ref="N265:N266"/>
    <mergeCell ref="M295:M296"/>
    <mergeCell ref="N295:N296"/>
    <mergeCell ref="N301:N302"/>
    <mergeCell ref="N287:N288"/>
    <mergeCell ref="M297:M298"/>
    <mergeCell ref="M291:M292"/>
    <mergeCell ref="N304:N305"/>
    <mergeCell ref="M301:M302"/>
    <mergeCell ref="M257:M258"/>
    <mergeCell ref="M287:M288"/>
    <mergeCell ref="M261:M264"/>
    <mergeCell ref="N267:N268"/>
    <mergeCell ref="Q1:Q2"/>
    <mergeCell ref="M199:M201"/>
    <mergeCell ref="N223:N224"/>
    <mergeCell ref="N229:N230"/>
    <mergeCell ref="N195:N197"/>
    <mergeCell ref="M87:M88"/>
    <mergeCell ref="M156:M158"/>
    <mergeCell ref="M160:M161"/>
    <mergeCell ref="M89:M90"/>
    <mergeCell ref="N89:N90"/>
    <mergeCell ref="N152:N153"/>
    <mergeCell ref="N219:N220"/>
    <mergeCell ref="N203:N204"/>
    <mergeCell ref="N207:N208"/>
    <mergeCell ref="N21:N22"/>
    <mergeCell ref="M17:M18"/>
    <mergeCell ref="N17:N18"/>
    <mergeCell ref="N85:N86"/>
    <mergeCell ref="N156:N158"/>
    <mergeCell ref="N137:N139"/>
    <mergeCell ref="N112:N113"/>
    <mergeCell ref="N160:N161"/>
    <mergeCell ref="N87:N88"/>
    <mergeCell ref="N107:N108"/>
    <mergeCell ref="N325:N326"/>
    <mergeCell ref="N323:N324"/>
    <mergeCell ref="M323:M324"/>
    <mergeCell ref="N321:N322"/>
    <mergeCell ref="N330:N331"/>
    <mergeCell ref="N307:N308"/>
    <mergeCell ref="M317:M318"/>
    <mergeCell ref="N317:N318"/>
    <mergeCell ref="N319:N320"/>
    <mergeCell ref="M307:M308"/>
    <mergeCell ref="M319:M320"/>
    <mergeCell ref="M321:M322"/>
    <mergeCell ref="M325:M326"/>
    <mergeCell ref="M328:M329"/>
    <mergeCell ref="N311:N314"/>
    <mergeCell ref="N343:N344"/>
    <mergeCell ref="N347:N349"/>
    <mergeCell ref="L355:L356"/>
    <mergeCell ref="N341:N342"/>
    <mergeCell ref="N351:N352"/>
    <mergeCell ref="L357:L358"/>
    <mergeCell ref="A325:A326"/>
    <mergeCell ref="B325:B326"/>
    <mergeCell ref="D325:D326"/>
    <mergeCell ref="L325:L326"/>
    <mergeCell ref="N328:N329"/>
    <mergeCell ref="N338:N340"/>
    <mergeCell ref="M341:M342"/>
    <mergeCell ref="M334:M335"/>
    <mergeCell ref="N334:N335"/>
    <mergeCell ref="M338:M340"/>
    <mergeCell ref="M330:M331"/>
    <mergeCell ref="A343:A344"/>
    <mergeCell ref="A341:A342"/>
    <mergeCell ref="B341:B342"/>
    <mergeCell ref="B343:B344"/>
    <mergeCell ref="A334:A335"/>
    <mergeCell ref="D334:D335"/>
    <mergeCell ref="L347:L348"/>
    <mergeCell ref="A449:A451"/>
    <mergeCell ref="B449:B451"/>
    <mergeCell ref="B409:B411"/>
    <mergeCell ref="D409:D411"/>
    <mergeCell ref="D323:D324"/>
    <mergeCell ref="D317:D318"/>
    <mergeCell ref="A319:A320"/>
    <mergeCell ref="A323:A324"/>
    <mergeCell ref="A402:A403"/>
    <mergeCell ref="A328:A329"/>
    <mergeCell ref="D328:D329"/>
    <mergeCell ref="B328:B329"/>
    <mergeCell ref="A347:A349"/>
    <mergeCell ref="B347:B349"/>
    <mergeCell ref="A330:A331"/>
    <mergeCell ref="B355:B356"/>
    <mergeCell ref="D368:D369"/>
    <mergeCell ref="B368:B369"/>
    <mergeCell ref="D357:D358"/>
    <mergeCell ref="A386:A387"/>
    <mergeCell ref="A422:A424"/>
    <mergeCell ref="A370:A371"/>
    <mergeCell ref="A404:A405"/>
    <mergeCell ref="A412:A414"/>
    <mergeCell ref="M449:M451"/>
    <mergeCell ref="N449:N451"/>
    <mergeCell ref="M402:M403"/>
    <mergeCell ref="M406:M408"/>
    <mergeCell ref="M404:M405"/>
    <mergeCell ref="N420:N421"/>
    <mergeCell ref="A418:A419"/>
    <mergeCell ref="M418:M419"/>
    <mergeCell ref="N415:N417"/>
    <mergeCell ref="M415:M417"/>
    <mergeCell ref="A415:A417"/>
    <mergeCell ref="B415:B417"/>
    <mergeCell ref="M412:M414"/>
    <mergeCell ref="N412:N414"/>
    <mergeCell ref="B418:B419"/>
    <mergeCell ref="M437:M438"/>
    <mergeCell ref="N437:N438"/>
    <mergeCell ref="N404:N405"/>
    <mergeCell ref="N428:N430"/>
    <mergeCell ref="A425:A427"/>
    <mergeCell ref="B425:B427"/>
    <mergeCell ref="A428:A430"/>
    <mergeCell ref="N409:N411"/>
    <mergeCell ref="A409:A411"/>
    <mergeCell ref="N402:N403"/>
    <mergeCell ref="N406:N408"/>
    <mergeCell ref="D404:D405"/>
    <mergeCell ref="N386:N387"/>
    <mergeCell ref="L261:L264"/>
    <mergeCell ref="A269:A270"/>
    <mergeCell ref="M289:M290"/>
    <mergeCell ref="A362:A363"/>
    <mergeCell ref="A351:A352"/>
    <mergeCell ref="A355:A356"/>
    <mergeCell ref="B404:B405"/>
    <mergeCell ref="F391:F392"/>
    <mergeCell ref="D391:D392"/>
    <mergeCell ref="B386:B387"/>
    <mergeCell ref="L323:L324"/>
    <mergeCell ref="L330:L331"/>
    <mergeCell ref="K317:K318"/>
    <mergeCell ref="K319:K320"/>
    <mergeCell ref="L328:L329"/>
    <mergeCell ref="K328:K329"/>
    <mergeCell ref="L321:L322"/>
    <mergeCell ref="N359:N360"/>
    <mergeCell ref="N355:N356"/>
    <mergeCell ref="M362:M363"/>
    <mergeCell ref="M343:M344"/>
    <mergeCell ref="L160:L161"/>
    <mergeCell ref="M212:M213"/>
    <mergeCell ref="L171:L172"/>
    <mergeCell ref="K184:K186"/>
    <mergeCell ref="K173:K174"/>
    <mergeCell ref="K171:K172"/>
    <mergeCell ref="L173:L174"/>
    <mergeCell ref="D181:D183"/>
    <mergeCell ref="D175:D177"/>
    <mergeCell ref="K323:K324"/>
    <mergeCell ref="K321:K322"/>
    <mergeCell ref="K325:K326"/>
    <mergeCell ref="M265:M266"/>
    <mergeCell ref="M311:M314"/>
    <mergeCell ref="D173:D174"/>
    <mergeCell ref="D178:D180"/>
    <mergeCell ref="D171:D172"/>
    <mergeCell ref="L184:L186"/>
    <mergeCell ref="L165:L166"/>
    <mergeCell ref="M299:M300"/>
    <mergeCell ref="L212:L213"/>
    <mergeCell ref="M171:M172"/>
    <mergeCell ref="M165:M166"/>
  </mergeCells>
  <phoneticPr fontId="0" type="noConversion"/>
  <pageMargins left="0.25" right="0.25" top="0.47" bottom="0.53" header="0.3" footer="0.3"/>
  <pageSetup paperSize="9" scale="73" orientation="landscape" r:id="rId1"/>
  <headerFooter alignWithMargins="0">
    <oddHeader>&amp;CRESULT PRODUCT LIST</oddHeader>
    <oddFooter>&amp;C&amp;P&amp;R&amp;D</oddFooter>
  </headerFooter>
  <rowBreaks count="5" manualBreakCount="5">
    <brk id="136" max="13" man="1"/>
    <brk id="204" max="13" man="1"/>
    <brk id="344" max="13" man="1"/>
    <brk id="365" max="13" man="1"/>
    <brk id="4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Q94"/>
  <sheetViews>
    <sheetView zoomScale="75" zoomScaleNormal="75" workbookViewId="0">
      <pane ySplit="2" topLeftCell="A3" activePane="bottomLeft" state="frozen"/>
      <selection pane="bottomLeft" activeCell="A3" sqref="A3"/>
    </sheetView>
  </sheetViews>
  <sheetFormatPr defaultRowHeight="19.5" x14ac:dyDescent="0.2"/>
  <cols>
    <col min="1" max="1" width="12.5703125" style="30" customWidth="1"/>
    <col min="2" max="2" width="72.7109375" style="30" bestFit="1" customWidth="1"/>
    <col min="3" max="3" width="10.28515625" style="29" bestFit="1" customWidth="1"/>
    <col min="4" max="4" width="6.140625" style="29" customWidth="1"/>
    <col min="5" max="5" width="6.85546875" style="29" customWidth="1"/>
    <col min="6" max="6" width="8" style="31" bestFit="1" customWidth="1"/>
    <col min="7" max="7" width="4.140625" style="29" bestFit="1" customWidth="1"/>
    <col min="8" max="8" width="6.5703125" style="31" bestFit="1" customWidth="1"/>
    <col min="9" max="9" width="2.5703125" style="29" bestFit="1" customWidth="1"/>
    <col min="10" max="10" width="7.7109375" style="31" bestFit="1" customWidth="1"/>
    <col min="11" max="11" width="8" style="31" bestFit="1" customWidth="1"/>
    <col min="12" max="12" width="13.42578125" style="31" customWidth="1"/>
    <col min="13" max="13" width="16.140625" style="75" customWidth="1"/>
    <col min="14" max="14" width="17.42578125" style="29" customWidth="1"/>
    <col min="15" max="15" width="10.7109375" style="29" customWidth="1"/>
    <col min="16" max="16" width="11.28515625" style="64" hidden="1" customWidth="1"/>
    <col min="17" max="17" width="18" style="56" hidden="1" customWidth="1"/>
    <col min="18" max="16384" width="9.140625" style="29"/>
  </cols>
  <sheetData>
    <row r="1" spans="1:17" s="26" customFormat="1" x14ac:dyDescent="0.2">
      <c r="A1" s="248" t="s">
        <v>0</v>
      </c>
      <c r="B1" s="248" t="s">
        <v>1</v>
      </c>
      <c r="C1" s="242" t="s">
        <v>81</v>
      </c>
      <c r="D1" s="238" t="s">
        <v>2</v>
      </c>
      <c r="E1" s="238" t="s">
        <v>109</v>
      </c>
      <c r="F1" s="244" t="s">
        <v>523</v>
      </c>
      <c r="G1" s="244"/>
      <c r="H1" s="244"/>
      <c r="I1" s="244"/>
      <c r="J1" s="244"/>
      <c r="K1" s="241" t="s">
        <v>110</v>
      </c>
      <c r="L1" s="241" t="s">
        <v>522</v>
      </c>
      <c r="M1" s="245" t="s">
        <v>560</v>
      </c>
      <c r="N1" s="238" t="s">
        <v>3</v>
      </c>
      <c r="O1" s="238" t="s">
        <v>4</v>
      </c>
      <c r="P1" s="229" t="s">
        <v>824</v>
      </c>
      <c r="Q1" s="207" t="s">
        <v>825</v>
      </c>
    </row>
    <row r="2" spans="1:17" s="26" customFormat="1" ht="41.25" customHeight="1" x14ac:dyDescent="0.2">
      <c r="A2" s="248"/>
      <c r="B2" s="248"/>
      <c r="C2" s="243"/>
      <c r="D2" s="238"/>
      <c r="E2" s="238"/>
      <c r="F2" s="43" t="s">
        <v>155</v>
      </c>
      <c r="G2" s="42" t="s">
        <v>159</v>
      </c>
      <c r="H2" s="51" t="s">
        <v>157</v>
      </c>
      <c r="I2" s="42" t="s">
        <v>159</v>
      </c>
      <c r="J2" s="51" t="s">
        <v>156</v>
      </c>
      <c r="K2" s="241"/>
      <c r="L2" s="241"/>
      <c r="M2" s="245"/>
      <c r="N2" s="238"/>
      <c r="O2" s="238"/>
      <c r="P2" s="229"/>
      <c r="Q2" s="207"/>
    </row>
    <row r="3" spans="1:17" s="27" customFormat="1" x14ac:dyDescent="0.2">
      <c r="A3" s="4" t="s">
        <v>255</v>
      </c>
      <c r="B3" s="4" t="s">
        <v>309</v>
      </c>
      <c r="C3" s="5" t="s">
        <v>9</v>
      </c>
      <c r="D3" s="5">
        <v>150</v>
      </c>
      <c r="E3" s="5">
        <v>25</v>
      </c>
      <c r="F3" s="6">
        <v>52</v>
      </c>
      <c r="G3" s="5" t="s">
        <v>159</v>
      </c>
      <c r="H3" s="6">
        <v>32</v>
      </c>
      <c r="I3" s="5" t="s">
        <v>159</v>
      </c>
      <c r="J3" s="6">
        <v>68</v>
      </c>
      <c r="K3" s="28">
        <f t="shared" ref="K3:K28" si="0">+(F3*H3*J3)*0.000001</f>
        <v>0.11315199999999999</v>
      </c>
      <c r="L3" s="6">
        <v>12</v>
      </c>
      <c r="M3" s="72">
        <f t="shared" ref="M3:M28" si="1">L3/D3</f>
        <v>0.08</v>
      </c>
      <c r="N3" s="5">
        <v>6505003000</v>
      </c>
      <c r="O3" s="5" t="s">
        <v>6</v>
      </c>
      <c r="P3" s="62">
        <v>2.7E-2</v>
      </c>
      <c r="Q3" s="57">
        <v>0.01</v>
      </c>
    </row>
    <row r="4" spans="1:17" s="27" customFormat="1" x14ac:dyDescent="0.2">
      <c r="A4" s="4" t="s">
        <v>257</v>
      </c>
      <c r="B4" s="4" t="s">
        <v>311</v>
      </c>
      <c r="C4" s="5" t="s">
        <v>9</v>
      </c>
      <c r="D4" s="5">
        <v>150</v>
      </c>
      <c r="E4" s="5">
        <v>25</v>
      </c>
      <c r="F4" s="6">
        <v>51</v>
      </c>
      <c r="G4" s="5" t="s">
        <v>159</v>
      </c>
      <c r="H4" s="6">
        <v>32</v>
      </c>
      <c r="I4" s="5" t="s">
        <v>159</v>
      </c>
      <c r="J4" s="6">
        <v>68</v>
      </c>
      <c r="K4" s="28">
        <f t="shared" si="0"/>
        <v>0.11097599999999999</v>
      </c>
      <c r="L4" s="6">
        <v>12.4</v>
      </c>
      <c r="M4" s="72">
        <f t="shared" si="1"/>
        <v>8.2666666666666666E-2</v>
      </c>
      <c r="N4" s="5">
        <v>6505003000</v>
      </c>
      <c r="O4" s="5" t="s">
        <v>6</v>
      </c>
      <c r="P4" s="62">
        <v>2.7E-2</v>
      </c>
      <c r="Q4" s="57">
        <v>0.01</v>
      </c>
    </row>
    <row r="5" spans="1:17" s="27" customFormat="1" x14ac:dyDescent="0.2">
      <c r="A5" s="4" t="s">
        <v>256</v>
      </c>
      <c r="B5" s="4" t="s">
        <v>310</v>
      </c>
      <c r="C5" s="5" t="s">
        <v>559</v>
      </c>
      <c r="D5" s="5">
        <v>150</v>
      </c>
      <c r="E5" s="5">
        <v>25</v>
      </c>
      <c r="F5" s="6">
        <v>51</v>
      </c>
      <c r="G5" s="5" t="s">
        <v>159</v>
      </c>
      <c r="H5" s="6">
        <v>32</v>
      </c>
      <c r="I5" s="5" t="s">
        <v>159</v>
      </c>
      <c r="J5" s="6">
        <v>68</v>
      </c>
      <c r="K5" s="28">
        <f t="shared" si="0"/>
        <v>0.11097599999999999</v>
      </c>
      <c r="L5" s="6">
        <v>12.4</v>
      </c>
      <c r="M5" s="72">
        <f t="shared" si="1"/>
        <v>8.2666666666666666E-2</v>
      </c>
      <c r="N5" s="5">
        <v>6505003000</v>
      </c>
      <c r="O5" s="5" t="s">
        <v>6</v>
      </c>
      <c r="P5" s="62">
        <v>2.7E-2</v>
      </c>
      <c r="Q5" s="57">
        <v>0.01</v>
      </c>
    </row>
    <row r="6" spans="1:17" s="27" customFormat="1" x14ac:dyDescent="0.2">
      <c r="A6" s="4" t="s">
        <v>258</v>
      </c>
      <c r="B6" s="4" t="s">
        <v>312</v>
      </c>
      <c r="C6" s="5" t="s">
        <v>9</v>
      </c>
      <c r="D6" s="5">
        <v>150</v>
      </c>
      <c r="E6" s="5">
        <v>25</v>
      </c>
      <c r="F6" s="6">
        <v>52</v>
      </c>
      <c r="G6" s="5" t="s">
        <v>159</v>
      </c>
      <c r="H6" s="6">
        <v>32</v>
      </c>
      <c r="I6" s="5" t="s">
        <v>159</v>
      </c>
      <c r="J6" s="6">
        <v>68</v>
      </c>
      <c r="K6" s="28">
        <f t="shared" si="0"/>
        <v>0.11315199999999999</v>
      </c>
      <c r="L6" s="6">
        <v>14</v>
      </c>
      <c r="M6" s="72">
        <f t="shared" si="1"/>
        <v>9.3333333333333338E-2</v>
      </c>
      <c r="N6" s="5">
        <v>6505003000</v>
      </c>
      <c r="O6" s="5" t="s">
        <v>6</v>
      </c>
      <c r="P6" s="62">
        <v>2.7E-2</v>
      </c>
      <c r="Q6" s="57">
        <v>0.01</v>
      </c>
    </row>
    <row r="7" spans="1:17" s="27" customFormat="1" x14ac:dyDescent="0.2">
      <c r="A7" s="4" t="s">
        <v>258</v>
      </c>
      <c r="B7" s="4" t="s">
        <v>313</v>
      </c>
      <c r="C7" s="5" t="s">
        <v>9</v>
      </c>
      <c r="D7" s="5">
        <v>150</v>
      </c>
      <c r="E7" s="5">
        <v>25</v>
      </c>
      <c r="F7" s="6">
        <v>52</v>
      </c>
      <c r="G7" s="5" t="s">
        <v>159</v>
      </c>
      <c r="H7" s="6">
        <v>32.5</v>
      </c>
      <c r="I7" s="5" t="s">
        <v>159</v>
      </c>
      <c r="J7" s="6">
        <v>68</v>
      </c>
      <c r="K7" s="28">
        <f t="shared" si="0"/>
        <v>0.11491999999999999</v>
      </c>
      <c r="L7" s="6">
        <v>14</v>
      </c>
      <c r="M7" s="72">
        <f t="shared" si="1"/>
        <v>9.3333333333333338E-2</v>
      </c>
      <c r="N7" s="5">
        <v>6505003000</v>
      </c>
      <c r="O7" s="5" t="s">
        <v>6</v>
      </c>
      <c r="P7" s="62">
        <v>2.7E-2</v>
      </c>
      <c r="Q7" s="57">
        <v>0.01</v>
      </c>
    </row>
    <row r="8" spans="1:17" s="27" customFormat="1" x14ac:dyDescent="0.2">
      <c r="A8" s="4" t="s">
        <v>259</v>
      </c>
      <c r="B8" s="4" t="s">
        <v>111</v>
      </c>
      <c r="C8" s="5" t="s">
        <v>9</v>
      </c>
      <c r="D8" s="5">
        <v>150</v>
      </c>
      <c r="E8" s="5">
        <v>25</v>
      </c>
      <c r="F8" s="6">
        <v>50</v>
      </c>
      <c r="G8" s="5" t="s">
        <v>159</v>
      </c>
      <c r="H8" s="6">
        <v>32</v>
      </c>
      <c r="I8" s="5" t="s">
        <v>159</v>
      </c>
      <c r="J8" s="37">
        <v>66.5</v>
      </c>
      <c r="K8" s="28">
        <f t="shared" si="0"/>
        <v>0.10639999999999999</v>
      </c>
      <c r="L8" s="6">
        <v>11.8</v>
      </c>
      <c r="M8" s="72">
        <f t="shared" si="1"/>
        <v>7.8666666666666676E-2</v>
      </c>
      <c r="N8" s="5">
        <v>6505003000</v>
      </c>
      <c r="O8" s="5" t="s">
        <v>6</v>
      </c>
      <c r="P8" s="62">
        <v>2.7E-2</v>
      </c>
      <c r="Q8" s="57">
        <v>0.01</v>
      </c>
    </row>
    <row r="9" spans="1:17" s="27" customFormat="1" x14ac:dyDescent="0.2">
      <c r="A9" s="4" t="s">
        <v>261</v>
      </c>
      <c r="B9" s="4" t="s">
        <v>113</v>
      </c>
      <c r="C9" s="5" t="s">
        <v>9</v>
      </c>
      <c r="D9" s="5">
        <v>150</v>
      </c>
      <c r="E9" s="5">
        <v>25</v>
      </c>
      <c r="F9" s="6">
        <v>54</v>
      </c>
      <c r="G9" s="5" t="s">
        <v>159</v>
      </c>
      <c r="H9" s="6">
        <v>32</v>
      </c>
      <c r="I9" s="5" t="s">
        <v>159</v>
      </c>
      <c r="J9" s="6">
        <v>66.5</v>
      </c>
      <c r="K9" s="28">
        <f t="shared" si="0"/>
        <v>0.114912</v>
      </c>
      <c r="L9" s="6">
        <v>16</v>
      </c>
      <c r="M9" s="72">
        <f t="shared" si="1"/>
        <v>0.10666666666666667</v>
      </c>
      <c r="N9" s="5">
        <v>6505003000</v>
      </c>
      <c r="O9" s="5" t="s">
        <v>6</v>
      </c>
      <c r="P9" s="62">
        <v>2.7E-2</v>
      </c>
      <c r="Q9" s="57">
        <v>0.01</v>
      </c>
    </row>
    <row r="10" spans="1:17" s="27" customFormat="1" x14ac:dyDescent="0.2">
      <c r="A10" s="4" t="s">
        <v>261</v>
      </c>
      <c r="B10" s="4" t="s">
        <v>115</v>
      </c>
      <c r="C10" s="5" t="s">
        <v>9</v>
      </c>
      <c r="D10" s="5">
        <v>150</v>
      </c>
      <c r="E10" s="5">
        <v>25</v>
      </c>
      <c r="F10" s="6">
        <v>54</v>
      </c>
      <c r="G10" s="5" t="s">
        <v>159</v>
      </c>
      <c r="H10" s="6">
        <v>32</v>
      </c>
      <c r="I10" s="5" t="s">
        <v>159</v>
      </c>
      <c r="J10" s="6">
        <v>66.5</v>
      </c>
      <c r="K10" s="28">
        <f t="shared" si="0"/>
        <v>0.114912</v>
      </c>
      <c r="L10" s="6">
        <v>16</v>
      </c>
      <c r="M10" s="72">
        <f t="shared" si="1"/>
        <v>0.10666666666666667</v>
      </c>
      <c r="N10" s="5">
        <v>6505003000</v>
      </c>
      <c r="O10" s="5" t="s">
        <v>6</v>
      </c>
      <c r="P10" s="62">
        <v>2.7E-2</v>
      </c>
      <c r="Q10" s="57">
        <v>0.01</v>
      </c>
    </row>
    <row r="11" spans="1:17" s="27" customFormat="1" x14ac:dyDescent="0.2">
      <c r="A11" s="4" t="s">
        <v>260</v>
      </c>
      <c r="B11" s="4" t="s">
        <v>112</v>
      </c>
      <c r="C11" s="5" t="s">
        <v>9</v>
      </c>
      <c r="D11" s="5">
        <v>150</v>
      </c>
      <c r="E11" s="5">
        <v>25</v>
      </c>
      <c r="F11" s="6">
        <v>55</v>
      </c>
      <c r="G11" s="5" t="s">
        <v>159</v>
      </c>
      <c r="H11" s="6">
        <v>33</v>
      </c>
      <c r="I11" s="5" t="s">
        <v>159</v>
      </c>
      <c r="J11" s="6">
        <v>68</v>
      </c>
      <c r="K11" s="28">
        <f t="shared" si="0"/>
        <v>0.12341999999999999</v>
      </c>
      <c r="L11" s="6">
        <v>16.3</v>
      </c>
      <c r="M11" s="72">
        <f t="shared" si="1"/>
        <v>0.10866666666666668</v>
      </c>
      <c r="N11" s="5">
        <v>6505003000</v>
      </c>
      <c r="O11" s="5" t="s">
        <v>6</v>
      </c>
      <c r="P11" s="62">
        <v>2.7E-2</v>
      </c>
      <c r="Q11" s="57">
        <v>0.01</v>
      </c>
    </row>
    <row r="12" spans="1:17" s="27" customFormat="1" x14ac:dyDescent="0.2">
      <c r="A12" s="4" t="s">
        <v>260</v>
      </c>
      <c r="B12" s="4" t="s">
        <v>114</v>
      </c>
      <c r="C12" s="5" t="s">
        <v>9</v>
      </c>
      <c r="D12" s="5">
        <v>150</v>
      </c>
      <c r="E12" s="5">
        <v>25</v>
      </c>
      <c r="F12" s="6">
        <v>55</v>
      </c>
      <c r="G12" s="5" t="s">
        <v>159</v>
      </c>
      <c r="H12" s="6">
        <v>33</v>
      </c>
      <c r="I12" s="5" t="s">
        <v>159</v>
      </c>
      <c r="J12" s="6">
        <v>68</v>
      </c>
      <c r="K12" s="28">
        <f t="shared" si="0"/>
        <v>0.12341999999999999</v>
      </c>
      <c r="L12" s="6">
        <v>16.5</v>
      </c>
      <c r="M12" s="72">
        <f t="shared" si="1"/>
        <v>0.11</v>
      </c>
      <c r="N12" s="5">
        <v>6505003000</v>
      </c>
      <c r="O12" s="5" t="s">
        <v>6</v>
      </c>
      <c r="P12" s="62">
        <v>2.7E-2</v>
      </c>
      <c r="Q12" s="57">
        <v>0.01</v>
      </c>
    </row>
    <row r="13" spans="1:17" s="27" customFormat="1" x14ac:dyDescent="0.2">
      <c r="A13" s="4" t="s">
        <v>262</v>
      </c>
      <c r="B13" s="4" t="s">
        <v>116</v>
      </c>
      <c r="C13" s="5" t="s">
        <v>9</v>
      </c>
      <c r="D13" s="5">
        <v>150</v>
      </c>
      <c r="E13" s="5">
        <v>25</v>
      </c>
      <c r="F13" s="6">
        <v>57</v>
      </c>
      <c r="G13" s="5" t="s">
        <v>159</v>
      </c>
      <c r="H13" s="6">
        <v>34</v>
      </c>
      <c r="I13" s="5" t="s">
        <v>159</v>
      </c>
      <c r="J13" s="6">
        <v>68</v>
      </c>
      <c r="K13" s="28">
        <f t="shared" si="0"/>
        <v>0.13178399999999998</v>
      </c>
      <c r="L13" s="6">
        <v>17.3</v>
      </c>
      <c r="M13" s="72">
        <f t="shared" si="1"/>
        <v>0.11533333333333334</v>
      </c>
      <c r="N13" s="5">
        <v>6505003000</v>
      </c>
      <c r="O13" s="5" t="s">
        <v>6</v>
      </c>
      <c r="P13" s="62">
        <v>2.7E-2</v>
      </c>
      <c r="Q13" s="57">
        <v>0.01</v>
      </c>
    </row>
    <row r="14" spans="1:17" s="27" customFormat="1" x14ac:dyDescent="0.2">
      <c r="A14" s="4" t="s">
        <v>262</v>
      </c>
      <c r="B14" s="4" t="s">
        <v>117</v>
      </c>
      <c r="C14" s="5" t="s">
        <v>9</v>
      </c>
      <c r="D14" s="5">
        <v>150</v>
      </c>
      <c r="E14" s="5">
        <v>25</v>
      </c>
      <c r="F14" s="6">
        <v>57</v>
      </c>
      <c r="G14" s="5" t="s">
        <v>159</v>
      </c>
      <c r="H14" s="6">
        <v>34</v>
      </c>
      <c r="I14" s="5" t="s">
        <v>159</v>
      </c>
      <c r="J14" s="6">
        <v>68</v>
      </c>
      <c r="K14" s="28">
        <f t="shared" si="0"/>
        <v>0.13178399999999998</v>
      </c>
      <c r="L14" s="6">
        <v>17.3</v>
      </c>
      <c r="M14" s="72">
        <f t="shared" si="1"/>
        <v>0.11533333333333334</v>
      </c>
      <c r="N14" s="5">
        <v>6505003000</v>
      </c>
      <c r="O14" s="5" t="s">
        <v>6</v>
      </c>
      <c r="P14" s="62">
        <v>2.7E-2</v>
      </c>
      <c r="Q14" s="57">
        <v>0.01</v>
      </c>
    </row>
    <row r="15" spans="1:17" s="27" customFormat="1" x14ac:dyDescent="0.2">
      <c r="A15" s="146" t="s">
        <v>1031</v>
      </c>
      <c r="B15" s="146" t="s">
        <v>1032</v>
      </c>
      <c r="C15" s="145" t="s">
        <v>9</v>
      </c>
      <c r="D15" s="145">
        <v>150</v>
      </c>
      <c r="E15" s="153">
        <v>25</v>
      </c>
      <c r="F15" s="154">
        <v>60</v>
      </c>
      <c r="G15" s="153" t="s">
        <v>159</v>
      </c>
      <c r="H15" s="154">
        <v>40</v>
      </c>
      <c r="I15" s="153" t="s">
        <v>159</v>
      </c>
      <c r="J15" s="154">
        <v>41</v>
      </c>
      <c r="K15" s="155">
        <f t="shared" si="0"/>
        <v>9.8400000000000001E-2</v>
      </c>
      <c r="L15" s="154">
        <v>15</v>
      </c>
      <c r="M15" s="156">
        <v>8.666666666666667E-2</v>
      </c>
      <c r="N15" s="134">
        <v>6505009090</v>
      </c>
      <c r="O15" s="134" t="s">
        <v>6</v>
      </c>
      <c r="P15" s="128"/>
      <c r="Q15" s="57"/>
    </row>
    <row r="16" spans="1:17" s="27" customFormat="1" x14ac:dyDescent="0.2">
      <c r="A16" s="122" t="s">
        <v>1023</v>
      </c>
      <c r="B16" s="122" t="s">
        <v>1025</v>
      </c>
      <c r="C16" s="123" t="s">
        <v>9</v>
      </c>
      <c r="D16" s="123">
        <v>150</v>
      </c>
      <c r="E16" s="123">
        <v>25</v>
      </c>
      <c r="F16" s="6">
        <v>60</v>
      </c>
      <c r="G16" s="123" t="s">
        <v>159</v>
      </c>
      <c r="H16" s="6">
        <v>40</v>
      </c>
      <c r="I16" s="123" t="s">
        <v>159</v>
      </c>
      <c r="J16" s="6">
        <v>54</v>
      </c>
      <c r="K16" s="28">
        <f t="shared" si="0"/>
        <v>0.12959999999999999</v>
      </c>
      <c r="L16" s="6">
        <v>15</v>
      </c>
      <c r="M16" s="72">
        <f>13/D16</f>
        <v>8.666666666666667E-2</v>
      </c>
      <c r="N16" s="123">
        <v>6505009090</v>
      </c>
      <c r="O16" s="123" t="s">
        <v>6</v>
      </c>
      <c r="P16" s="124"/>
      <c r="Q16" s="57"/>
    </row>
    <row r="17" spans="1:17" s="27" customFormat="1" x14ac:dyDescent="0.2">
      <c r="A17" s="122" t="s">
        <v>1024</v>
      </c>
      <c r="B17" s="122" t="s">
        <v>1026</v>
      </c>
      <c r="C17" s="123" t="s">
        <v>9</v>
      </c>
      <c r="D17" s="123">
        <v>150</v>
      </c>
      <c r="E17" s="123">
        <v>25</v>
      </c>
      <c r="F17" s="6">
        <v>60</v>
      </c>
      <c r="G17" s="123" t="s">
        <v>159</v>
      </c>
      <c r="H17" s="6">
        <v>40</v>
      </c>
      <c r="I17" s="123" t="s">
        <v>159</v>
      </c>
      <c r="J17" s="6">
        <v>54</v>
      </c>
      <c r="K17" s="28">
        <f t="shared" si="0"/>
        <v>0.12959999999999999</v>
      </c>
      <c r="L17" s="6">
        <v>14</v>
      </c>
      <c r="M17" s="72">
        <f>12/D17</f>
        <v>0.08</v>
      </c>
      <c r="N17" s="123">
        <v>6505009090</v>
      </c>
      <c r="O17" s="123" t="s">
        <v>6</v>
      </c>
      <c r="P17" s="124"/>
      <c r="Q17" s="57"/>
    </row>
    <row r="18" spans="1:17" s="3" customFormat="1" x14ac:dyDescent="0.2">
      <c r="A18" s="4" t="s">
        <v>263</v>
      </c>
      <c r="B18" s="4" t="s">
        <v>314</v>
      </c>
      <c r="C18" s="17" t="s">
        <v>9</v>
      </c>
      <c r="D18" s="17">
        <v>150</v>
      </c>
      <c r="E18" s="5">
        <v>25</v>
      </c>
      <c r="F18" s="6">
        <v>50</v>
      </c>
      <c r="G18" s="5" t="s">
        <v>159</v>
      </c>
      <c r="H18" s="6">
        <v>40</v>
      </c>
      <c r="I18" s="5" t="s">
        <v>159</v>
      </c>
      <c r="J18" s="6">
        <v>43</v>
      </c>
      <c r="K18" s="28">
        <f t="shared" ref="K18:K25" si="2">+(F18*H18*J18)*0.000001</f>
        <v>8.5999999999999993E-2</v>
      </c>
      <c r="L18" s="40">
        <v>15</v>
      </c>
      <c r="M18" s="72">
        <f t="shared" ref="M18:M24" si="3">L18/D18</f>
        <v>0.1</v>
      </c>
      <c r="N18" s="5">
        <v>6505009090</v>
      </c>
      <c r="O18" s="17" t="s">
        <v>6</v>
      </c>
      <c r="P18" s="62">
        <v>2.7E-2</v>
      </c>
      <c r="Q18" s="57">
        <v>0.01</v>
      </c>
    </row>
    <row r="19" spans="1:17" s="3" customFormat="1" x14ac:dyDescent="0.2">
      <c r="A19" s="4" t="s">
        <v>264</v>
      </c>
      <c r="B19" s="4" t="s">
        <v>315</v>
      </c>
      <c r="C19" s="17" t="s">
        <v>9</v>
      </c>
      <c r="D19" s="17">
        <v>150</v>
      </c>
      <c r="E19" s="5">
        <v>25</v>
      </c>
      <c r="F19" s="6">
        <v>60</v>
      </c>
      <c r="G19" s="5" t="s">
        <v>159</v>
      </c>
      <c r="H19" s="6">
        <v>40</v>
      </c>
      <c r="I19" s="5" t="s">
        <v>159</v>
      </c>
      <c r="J19" s="6">
        <v>40</v>
      </c>
      <c r="K19" s="28">
        <f t="shared" si="2"/>
        <v>9.6000000000000002E-2</v>
      </c>
      <c r="L19" s="37">
        <v>13</v>
      </c>
      <c r="M19" s="72">
        <f t="shared" si="3"/>
        <v>8.666666666666667E-2</v>
      </c>
      <c r="N19" s="5">
        <v>6505009090</v>
      </c>
      <c r="O19" s="17" t="s">
        <v>6</v>
      </c>
      <c r="P19" s="62">
        <v>2.7E-2</v>
      </c>
      <c r="Q19" s="57">
        <v>0.01</v>
      </c>
    </row>
    <row r="20" spans="1:17" s="3" customFormat="1" x14ac:dyDescent="0.2">
      <c r="A20" s="4" t="s">
        <v>842</v>
      </c>
      <c r="B20" s="4" t="s">
        <v>856</v>
      </c>
      <c r="C20" s="17" t="s">
        <v>9</v>
      </c>
      <c r="D20" s="17">
        <v>150</v>
      </c>
      <c r="E20" s="5">
        <v>25</v>
      </c>
      <c r="F20" s="21">
        <v>60</v>
      </c>
      <c r="G20" s="17" t="s">
        <v>159</v>
      </c>
      <c r="H20" s="21">
        <v>40</v>
      </c>
      <c r="I20" s="17" t="s">
        <v>159</v>
      </c>
      <c r="J20" s="21">
        <v>43</v>
      </c>
      <c r="K20" s="38">
        <f t="shared" si="2"/>
        <v>0.1032</v>
      </c>
      <c r="L20" s="40">
        <v>11</v>
      </c>
      <c r="M20" s="72">
        <f t="shared" si="3"/>
        <v>7.3333333333333334E-2</v>
      </c>
      <c r="N20" s="5">
        <v>6505009090</v>
      </c>
      <c r="O20" s="17" t="s">
        <v>6</v>
      </c>
      <c r="P20" s="83"/>
      <c r="Q20" s="57"/>
    </row>
    <row r="21" spans="1:17" s="3" customFormat="1" x14ac:dyDescent="0.2">
      <c r="A21" s="4" t="s">
        <v>843</v>
      </c>
      <c r="B21" s="4" t="s">
        <v>844</v>
      </c>
      <c r="C21" s="17" t="s">
        <v>9</v>
      </c>
      <c r="D21" s="17">
        <v>50</v>
      </c>
      <c r="E21" s="5">
        <v>25</v>
      </c>
      <c r="F21" s="21">
        <v>54</v>
      </c>
      <c r="G21" s="17" t="s">
        <v>159</v>
      </c>
      <c r="H21" s="21">
        <v>30</v>
      </c>
      <c r="I21" s="17" t="s">
        <v>159</v>
      </c>
      <c r="J21" s="21">
        <v>40</v>
      </c>
      <c r="K21" s="38">
        <f t="shared" si="2"/>
        <v>6.4799999999999996E-2</v>
      </c>
      <c r="L21" s="40">
        <v>6</v>
      </c>
      <c r="M21" s="72">
        <f t="shared" si="3"/>
        <v>0.12</v>
      </c>
      <c r="N21" s="5">
        <v>6505009090</v>
      </c>
      <c r="O21" s="17" t="s">
        <v>6</v>
      </c>
      <c r="P21" s="83"/>
      <c r="Q21" s="57"/>
    </row>
    <row r="22" spans="1:17" s="3" customFormat="1" ht="39" x14ac:dyDescent="0.2">
      <c r="A22" s="4" t="s">
        <v>845</v>
      </c>
      <c r="B22" s="4" t="s">
        <v>846</v>
      </c>
      <c r="C22" s="17" t="s">
        <v>5</v>
      </c>
      <c r="D22" s="17">
        <v>50</v>
      </c>
      <c r="E22" s="5">
        <v>25</v>
      </c>
      <c r="F22" s="21">
        <v>60</v>
      </c>
      <c r="G22" s="17" t="s">
        <v>159</v>
      </c>
      <c r="H22" s="21">
        <v>30</v>
      </c>
      <c r="I22" s="17" t="s">
        <v>159</v>
      </c>
      <c r="J22" s="21">
        <v>48</v>
      </c>
      <c r="K22" s="38">
        <f t="shared" si="2"/>
        <v>8.6399999999999991E-2</v>
      </c>
      <c r="L22" s="40">
        <v>7</v>
      </c>
      <c r="M22" s="72">
        <f t="shared" si="3"/>
        <v>0.14000000000000001</v>
      </c>
      <c r="N22" s="5">
        <v>6505009090</v>
      </c>
      <c r="O22" s="17" t="s">
        <v>6</v>
      </c>
      <c r="P22" s="83"/>
      <c r="Q22" s="57"/>
    </row>
    <row r="23" spans="1:17" s="3" customFormat="1" x14ac:dyDescent="0.2">
      <c r="A23" s="4" t="s">
        <v>265</v>
      </c>
      <c r="B23" s="4" t="s">
        <v>604</v>
      </c>
      <c r="C23" s="17" t="s">
        <v>9</v>
      </c>
      <c r="D23" s="17">
        <v>150</v>
      </c>
      <c r="E23" s="5">
        <v>25</v>
      </c>
      <c r="F23" s="6">
        <v>60</v>
      </c>
      <c r="G23" s="5" t="s">
        <v>159</v>
      </c>
      <c r="H23" s="6">
        <v>40</v>
      </c>
      <c r="I23" s="5" t="s">
        <v>159</v>
      </c>
      <c r="J23" s="6">
        <v>54</v>
      </c>
      <c r="K23" s="28">
        <f t="shared" si="2"/>
        <v>0.12959999999999999</v>
      </c>
      <c r="L23" s="37">
        <v>15</v>
      </c>
      <c r="M23" s="72">
        <f t="shared" si="3"/>
        <v>0.1</v>
      </c>
      <c r="N23" s="5">
        <v>6505009090</v>
      </c>
      <c r="O23" s="17" t="s">
        <v>6</v>
      </c>
      <c r="P23" s="62">
        <v>2.7E-2</v>
      </c>
      <c r="Q23" s="57">
        <v>0.01</v>
      </c>
    </row>
    <row r="24" spans="1:17" s="3" customFormat="1" x14ac:dyDescent="0.2">
      <c r="A24" s="4" t="s">
        <v>266</v>
      </c>
      <c r="B24" s="4" t="s">
        <v>605</v>
      </c>
      <c r="C24" s="17" t="s">
        <v>9</v>
      </c>
      <c r="D24" s="17">
        <v>150</v>
      </c>
      <c r="E24" s="5">
        <v>25</v>
      </c>
      <c r="F24" s="6">
        <v>60</v>
      </c>
      <c r="G24" s="5" t="s">
        <v>159</v>
      </c>
      <c r="H24" s="6">
        <v>40</v>
      </c>
      <c r="I24" s="5" t="s">
        <v>159</v>
      </c>
      <c r="J24" s="6">
        <v>40</v>
      </c>
      <c r="K24" s="28">
        <f t="shared" si="2"/>
        <v>9.6000000000000002E-2</v>
      </c>
      <c r="L24" s="37">
        <v>12</v>
      </c>
      <c r="M24" s="72">
        <f t="shared" si="3"/>
        <v>0.08</v>
      </c>
      <c r="N24" s="5">
        <v>6505009090</v>
      </c>
      <c r="O24" s="17" t="s">
        <v>6</v>
      </c>
      <c r="P24" s="62">
        <v>2.7E-2</v>
      </c>
      <c r="Q24" s="57">
        <v>0.01</v>
      </c>
    </row>
    <row r="25" spans="1:17" s="3" customFormat="1" x14ac:dyDescent="0.2">
      <c r="A25" s="146" t="s">
        <v>1033</v>
      </c>
      <c r="B25" s="146" t="s">
        <v>1034</v>
      </c>
      <c r="C25" s="145" t="s">
        <v>9</v>
      </c>
      <c r="D25" s="145">
        <v>150</v>
      </c>
      <c r="E25" s="149">
        <v>25</v>
      </c>
      <c r="F25" s="150">
        <v>60</v>
      </c>
      <c r="G25" s="149" t="s">
        <v>159</v>
      </c>
      <c r="H25" s="150">
        <v>40</v>
      </c>
      <c r="I25" s="149" t="s">
        <v>159</v>
      </c>
      <c r="J25" s="150">
        <v>54</v>
      </c>
      <c r="K25" s="151">
        <f t="shared" si="2"/>
        <v>0.12959999999999999</v>
      </c>
      <c r="L25" s="150">
        <v>17</v>
      </c>
      <c r="M25" s="152">
        <f>15/D25</f>
        <v>0.1</v>
      </c>
      <c r="N25" s="134">
        <v>6505009090</v>
      </c>
      <c r="O25" s="132" t="s">
        <v>6</v>
      </c>
      <c r="P25" s="128"/>
      <c r="Q25" s="57"/>
    </row>
    <row r="26" spans="1:17" s="27" customFormat="1" x14ac:dyDescent="0.2">
      <c r="A26" s="4" t="s">
        <v>267</v>
      </c>
      <c r="B26" s="4" t="s">
        <v>316</v>
      </c>
      <c r="C26" s="5" t="s">
        <v>9</v>
      </c>
      <c r="D26" s="5">
        <v>150</v>
      </c>
      <c r="E26" s="5">
        <v>25</v>
      </c>
      <c r="F26" s="6">
        <v>55</v>
      </c>
      <c r="G26" s="5" t="s">
        <v>159</v>
      </c>
      <c r="H26" s="6">
        <v>33</v>
      </c>
      <c r="I26" s="5" t="s">
        <v>159</v>
      </c>
      <c r="J26" s="6">
        <v>68</v>
      </c>
      <c r="K26" s="28">
        <f t="shared" si="0"/>
        <v>0.12341999999999999</v>
      </c>
      <c r="L26" s="6">
        <v>14.5</v>
      </c>
      <c r="M26" s="72">
        <f t="shared" si="1"/>
        <v>9.6666666666666665E-2</v>
      </c>
      <c r="N26" s="5">
        <v>6505003000</v>
      </c>
      <c r="O26" s="5" t="s">
        <v>6</v>
      </c>
      <c r="P26" s="62">
        <v>2.7E-2</v>
      </c>
      <c r="Q26" s="57">
        <v>0.01</v>
      </c>
    </row>
    <row r="27" spans="1:17" s="3" customFormat="1" x14ac:dyDescent="0.2">
      <c r="A27" s="4" t="s">
        <v>268</v>
      </c>
      <c r="B27" s="4" t="s">
        <v>606</v>
      </c>
      <c r="C27" s="17" t="s">
        <v>9</v>
      </c>
      <c r="D27" s="5">
        <v>75</v>
      </c>
      <c r="E27" s="5">
        <v>25</v>
      </c>
      <c r="F27" s="6">
        <v>55.5</v>
      </c>
      <c r="G27" s="5" t="s">
        <v>159</v>
      </c>
      <c r="H27" s="6">
        <v>24.5</v>
      </c>
      <c r="I27" s="5" t="s">
        <v>159</v>
      </c>
      <c r="J27" s="45">
        <v>63</v>
      </c>
      <c r="K27" s="28">
        <f>+(F27*H27*J27)*0.000001</f>
        <v>8.5664249999999997E-2</v>
      </c>
      <c r="L27" s="6">
        <v>9.5</v>
      </c>
      <c r="M27" s="72">
        <f>7.6/75</f>
        <v>0.10133333333333333</v>
      </c>
      <c r="N27" s="5">
        <v>6505003000</v>
      </c>
      <c r="O27" s="5" t="s">
        <v>6</v>
      </c>
      <c r="P27" s="62">
        <v>2.7E-2</v>
      </c>
      <c r="Q27" s="57">
        <v>0.01</v>
      </c>
    </row>
    <row r="28" spans="1:17" s="27" customFormat="1" x14ac:dyDescent="0.2">
      <c r="A28" s="4" t="s">
        <v>269</v>
      </c>
      <c r="B28" s="4" t="s">
        <v>317</v>
      </c>
      <c r="C28" s="5" t="s">
        <v>9</v>
      </c>
      <c r="D28" s="5">
        <v>150</v>
      </c>
      <c r="E28" s="5">
        <v>25</v>
      </c>
      <c r="F28" s="6">
        <v>54</v>
      </c>
      <c r="G28" s="5" t="s">
        <v>159</v>
      </c>
      <c r="H28" s="6">
        <v>33</v>
      </c>
      <c r="I28" s="5" t="s">
        <v>159</v>
      </c>
      <c r="J28" s="6">
        <v>68</v>
      </c>
      <c r="K28" s="28">
        <f t="shared" si="0"/>
        <v>0.12117599999999999</v>
      </c>
      <c r="L28" s="6">
        <v>14.4</v>
      </c>
      <c r="M28" s="72">
        <f t="shared" si="1"/>
        <v>9.6000000000000002E-2</v>
      </c>
      <c r="N28" s="5">
        <v>6505003000</v>
      </c>
      <c r="O28" s="5" t="s">
        <v>6</v>
      </c>
      <c r="P28" s="62">
        <v>2.7E-2</v>
      </c>
      <c r="Q28" s="57">
        <v>0.01</v>
      </c>
    </row>
    <row r="29" spans="1:17" s="3" customFormat="1" x14ac:dyDescent="0.2">
      <c r="A29" s="4" t="s">
        <v>270</v>
      </c>
      <c r="B29" s="4" t="s">
        <v>608</v>
      </c>
      <c r="C29" s="17" t="s">
        <v>9</v>
      </c>
      <c r="D29" s="17">
        <v>150</v>
      </c>
      <c r="E29" s="5">
        <v>25</v>
      </c>
      <c r="F29" s="6">
        <v>60</v>
      </c>
      <c r="G29" s="5" t="s">
        <v>159</v>
      </c>
      <c r="H29" s="6">
        <v>40</v>
      </c>
      <c r="I29" s="5" t="s">
        <v>159</v>
      </c>
      <c r="J29" s="6">
        <v>25</v>
      </c>
      <c r="K29" s="28">
        <f t="shared" ref="K29:K46" si="4">+(F29*H29*J29)*0.000001</f>
        <v>0.06</v>
      </c>
      <c r="L29" s="37">
        <v>11</v>
      </c>
      <c r="M29" s="72">
        <f t="shared" ref="M29:M46" si="5">L29/D29</f>
        <v>7.3333333333333334E-2</v>
      </c>
      <c r="N29" s="5">
        <v>6505009090</v>
      </c>
      <c r="O29" s="17" t="s">
        <v>6</v>
      </c>
      <c r="P29" s="62">
        <v>2.7E-2</v>
      </c>
      <c r="Q29" s="57">
        <v>0.01</v>
      </c>
    </row>
    <row r="30" spans="1:17" s="27" customFormat="1" x14ac:dyDescent="0.2">
      <c r="A30" s="4" t="s">
        <v>271</v>
      </c>
      <c r="B30" s="4" t="s">
        <v>118</v>
      </c>
      <c r="C30" s="5" t="s">
        <v>9</v>
      </c>
      <c r="D30" s="5">
        <v>150</v>
      </c>
      <c r="E30" s="5">
        <v>25</v>
      </c>
      <c r="F30" s="6">
        <v>54.5</v>
      </c>
      <c r="G30" s="5" t="s">
        <v>159</v>
      </c>
      <c r="H30" s="6">
        <v>35</v>
      </c>
      <c r="I30" s="5" t="s">
        <v>159</v>
      </c>
      <c r="J30" s="6">
        <v>52.5</v>
      </c>
      <c r="K30" s="28">
        <f t="shared" si="4"/>
        <v>0.10014374999999999</v>
      </c>
      <c r="L30" s="6">
        <v>12.3</v>
      </c>
      <c r="M30" s="72">
        <f t="shared" si="5"/>
        <v>8.2000000000000003E-2</v>
      </c>
      <c r="N30" s="5">
        <v>6505009090</v>
      </c>
      <c r="O30" s="5" t="s">
        <v>6</v>
      </c>
      <c r="P30" s="62">
        <v>2.7E-2</v>
      </c>
      <c r="Q30" s="57">
        <v>0.01</v>
      </c>
    </row>
    <row r="31" spans="1:17" s="3" customFormat="1" x14ac:dyDescent="0.2">
      <c r="A31" s="4" t="s">
        <v>272</v>
      </c>
      <c r="B31" s="4" t="s">
        <v>318</v>
      </c>
      <c r="C31" s="17" t="s">
        <v>9</v>
      </c>
      <c r="D31" s="17">
        <v>150</v>
      </c>
      <c r="E31" s="5">
        <v>25</v>
      </c>
      <c r="F31" s="6">
        <v>60</v>
      </c>
      <c r="G31" s="5" t="s">
        <v>159</v>
      </c>
      <c r="H31" s="6">
        <v>40</v>
      </c>
      <c r="I31" s="5" t="s">
        <v>159</v>
      </c>
      <c r="J31" s="6">
        <v>35</v>
      </c>
      <c r="K31" s="28">
        <f t="shared" si="4"/>
        <v>8.3999999999999991E-2</v>
      </c>
      <c r="L31" s="37">
        <v>12.5</v>
      </c>
      <c r="M31" s="72">
        <f t="shared" si="5"/>
        <v>8.3333333333333329E-2</v>
      </c>
      <c r="N31" s="5">
        <v>6505009090</v>
      </c>
      <c r="O31" s="17" t="s">
        <v>6</v>
      </c>
      <c r="P31" s="62">
        <v>2.7E-2</v>
      </c>
      <c r="Q31" s="57">
        <v>0.01</v>
      </c>
    </row>
    <row r="32" spans="1:17" s="27" customFormat="1" x14ac:dyDescent="0.2">
      <c r="A32" s="4" t="s">
        <v>273</v>
      </c>
      <c r="B32" s="4" t="s">
        <v>119</v>
      </c>
      <c r="C32" s="5" t="s">
        <v>9</v>
      </c>
      <c r="D32" s="5">
        <v>150</v>
      </c>
      <c r="E32" s="5">
        <v>25</v>
      </c>
      <c r="F32" s="6">
        <v>54</v>
      </c>
      <c r="G32" s="5" t="s">
        <v>159</v>
      </c>
      <c r="H32" s="6">
        <v>32</v>
      </c>
      <c r="I32" s="5" t="s">
        <v>159</v>
      </c>
      <c r="J32" s="6">
        <v>68</v>
      </c>
      <c r="K32" s="28">
        <f t="shared" si="4"/>
        <v>0.117504</v>
      </c>
      <c r="L32" s="6">
        <v>13.5</v>
      </c>
      <c r="M32" s="72">
        <f t="shared" si="5"/>
        <v>0.09</v>
      </c>
      <c r="N32" s="5">
        <v>6505003000</v>
      </c>
      <c r="O32" s="5" t="s">
        <v>6</v>
      </c>
      <c r="P32" s="62">
        <v>2.7E-2</v>
      </c>
      <c r="Q32" s="57">
        <v>0.01</v>
      </c>
    </row>
    <row r="33" spans="1:17" s="27" customFormat="1" x14ac:dyDescent="0.2">
      <c r="A33" s="4" t="s">
        <v>274</v>
      </c>
      <c r="B33" s="4" t="s">
        <v>319</v>
      </c>
      <c r="C33" s="5" t="s">
        <v>9</v>
      </c>
      <c r="D33" s="5">
        <v>150</v>
      </c>
      <c r="E33" s="5">
        <v>25</v>
      </c>
      <c r="F33" s="6">
        <v>52.5</v>
      </c>
      <c r="G33" s="5" t="s">
        <v>159</v>
      </c>
      <c r="H33" s="6">
        <v>38</v>
      </c>
      <c r="I33" s="5" t="s">
        <v>159</v>
      </c>
      <c r="J33" s="6">
        <v>48.75</v>
      </c>
      <c r="K33" s="28">
        <f t="shared" si="4"/>
        <v>9.7256250000000002E-2</v>
      </c>
      <c r="L33" s="6">
        <v>13</v>
      </c>
      <c r="M33" s="72">
        <f t="shared" si="5"/>
        <v>8.666666666666667E-2</v>
      </c>
      <c r="N33" s="5">
        <v>6505003000</v>
      </c>
      <c r="O33" s="5" t="s">
        <v>6</v>
      </c>
      <c r="P33" s="62">
        <v>2.7E-2</v>
      </c>
      <c r="Q33" s="57">
        <v>0.01</v>
      </c>
    </row>
    <row r="34" spans="1:17" s="27" customFormat="1" x14ac:dyDescent="0.2">
      <c r="A34" s="4" t="s">
        <v>275</v>
      </c>
      <c r="B34" s="4" t="s">
        <v>630</v>
      </c>
      <c r="C34" s="5" t="s">
        <v>9</v>
      </c>
      <c r="D34" s="5">
        <v>150</v>
      </c>
      <c r="E34" s="5">
        <v>25</v>
      </c>
      <c r="F34" s="6">
        <v>57</v>
      </c>
      <c r="G34" s="5" t="s">
        <v>159</v>
      </c>
      <c r="H34" s="6">
        <v>33</v>
      </c>
      <c r="I34" s="5" t="s">
        <v>159</v>
      </c>
      <c r="J34" s="6">
        <v>68</v>
      </c>
      <c r="K34" s="28">
        <f t="shared" si="4"/>
        <v>0.12790799999999999</v>
      </c>
      <c r="L34" s="6">
        <v>15.5</v>
      </c>
      <c r="M34" s="72">
        <f t="shared" si="5"/>
        <v>0.10333333333333333</v>
      </c>
      <c r="N34" s="5">
        <v>6505003000</v>
      </c>
      <c r="O34" s="5" t="s">
        <v>6</v>
      </c>
      <c r="P34" s="62">
        <v>2.7E-2</v>
      </c>
      <c r="Q34" s="57">
        <v>0.01</v>
      </c>
    </row>
    <row r="35" spans="1:17" s="27" customFormat="1" x14ac:dyDescent="0.2">
      <c r="A35" s="4" t="s">
        <v>276</v>
      </c>
      <c r="B35" s="4" t="s">
        <v>320</v>
      </c>
      <c r="C35" s="5" t="s">
        <v>9</v>
      </c>
      <c r="D35" s="5">
        <v>150</v>
      </c>
      <c r="E35" s="5">
        <v>25</v>
      </c>
      <c r="F35" s="6">
        <v>55</v>
      </c>
      <c r="G35" s="5" t="s">
        <v>159</v>
      </c>
      <c r="H35" s="6">
        <v>33</v>
      </c>
      <c r="I35" s="5" t="s">
        <v>159</v>
      </c>
      <c r="J35" s="6">
        <v>68</v>
      </c>
      <c r="K35" s="28">
        <f t="shared" si="4"/>
        <v>0.12341999999999999</v>
      </c>
      <c r="L35" s="6">
        <v>15.5</v>
      </c>
      <c r="M35" s="72">
        <f t="shared" si="5"/>
        <v>0.10333333333333333</v>
      </c>
      <c r="N35" s="5">
        <v>6505003000</v>
      </c>
      <c r="O35" s="5" t="s">
        <v>6</v>
      </c>
      <c r="P35" s="62">
        <v>2.7E-2</v>
      </c>
      <c r="Q35" s="57">
        <v>0.01</v>
      </c>
    </row>
    <row r="36" spans="1:17" s="27" customFormat="1" x14ac:dyDescent="0.2">
      <c r="A36" s="4" t="s">
        <v>277</v>
      </c>
      <c r="B36" s="4" t="s">
        <v>321</v>
      </c>
      <c r="C36" s="5" t="s">
        <v>9</v>
      </c>
      <c r="D36" s="5">
        <v>150</v>
      </c>
      <c r="E36" s="5">
        <v>25</v>
      </c>
      <c r="F36" s="6">
        <v>50</v>
      </c>
      <c r="G36" s="5" t="s">
        <v>159</v>
      </c>
      <c r="H36" s="6">
        <v>31.5</v>
      </c>
      <c r="I36" s="5" t="s">
        <v>159</v>
      </c>
      <c r="J36" s="6">
        <v>68</v>
      </c>
      <c r="K36" s="28">
        <f t="shared" si="4"/>
        <v>0.1071</v>
      </c>
      <c r="L36" s="6">
        <v>11.2</v>
      </c>
      <c r="M36" s="72">
        <f t="shared" si="5"/>
        <v>7.4666666666666659E-2</v>
      </c>
      <c r="N36" s="5">
        <v>6505003000</v>
      </c>
      <c r="O36" s="5" t="s">
        <v>6</v>
      </c>
      <c r="P36" s="62">
        <v>2.7E-2</v>
      </c>
      <c r="Q36" s="57">
        <v>0.01</v>
      </c>
    </row>
    <row r="37" spans="1:17" s="27" customFormat="1" x14ac:dyDescent="0.2">
      <c r="A37" s="4" t="s">
        <v>278</v>
      </c>
      <c r="B37" s="4" t="s">
        <v>322</v>
      </c>
      <c r="C37" s="5" t="s">
        <v>9</v>
      </c>
      <c r="D37" s="5">
        <v>150</v>
      </c>
      <c r="E37" s="5">
        <v>25</v>
      </c>
      <c r="F37" s="6">
        <v>58.5</v>
      </c>
      <c r="G37" s="5" t="s">
        <v>159</v>
      </c>
      <c r="H37" s="6">
        <v>34</v>
      </c>
      <c r="I37" s="5" t="s">
        <v>159</v>
      </c>
      <c r="J37" s="6">
        <v>68</v>
      </c>
      <c r="K37" s="28">
        <f t="shared" si="4"/>
        <v>0.13525199999999998</v>
      </c>
      <c r="L37" s="6">
        <v>14.8</v>
      </c>
      <c r="M37" s="72">
        <f t="shared" si="5"/>
        <v>9.8666666666666666E-2</v>
      </c>
      <c r="N37" s="5">
        <v>6505003000</v>
      </c>
      <c r="O37" s="5" t="s">
        <v>6</v>
      </c>
      <c r="P37" s="62">
        <v>2.7E-2</v>
      </c>
      <c r="Q37" s="57">
        <v>0.01</v>
      </c>
    </row>
    <row r="38" spans="1:17" s="27" customFormat="1" x14ac:dyDescent="0.2">
      <c r="A38" s="4" t="s">
        <v>279</v>
      </c>
      <c r="B38" s="4" t="s">
        <v>323</v>
      </c>
      <c r="C38" s="5" t="s">
        <v>9</v>
      </c>
      <c r="D38" s="5">
        <v>150</v>
      </c>
      <c r="E38" s="5">
        <v>25</v>
      </c>
      <c r="F38" s="6">
        <v>50</v>
      </c>
      <c r="G38" s="5" t="s">
        <v>159</v>
      </c>
      <c r="H38" s="6">
        <v>31.5</v>
      </c>
      <c r="I38" s="5" t="s">
        <v>159</v>
      </c>
      <c r="J38" s="6">
        <v>68</v>
      </c>
      <c r="K38" s="28">
        <f t="shared" si="4"/>
        <v>0.1071</v>
      </c>
      <c r="L38" s="6">
        <v>11.2</v>
      </c>
      <c r="M38" s="72">
        <f t="shared" si="5"/>
        <v>7.4666666666666659E-2</v>
      </c>
      <c r="N38" s="5">
        <v>6505003000</v>
      </c>
      <c r="O38" s="5" t="s">
        <v>6</v>
      </c>
      <c r="P38" s="62">
        <v>2.7E-2</v>
      </c>
      <c r="Q38" s="57">
        <v>0.01</v>
      </c>
    </row>
    <row r="39" spans="1:17" s="3" customFormat="1" x14ac:dyDescent="0.2">
      <c r="A39" s="4" t="s">
        <v>280</v>
      </c>
      <c r="B39" s="4" t="s">
        <v>324</v>
      </c>
      <c r="C39" s="17" t="s">
        <v>9</v>
      </c>
      <c r="D39" s="17">
        <v>50</v>
      </c>
      <c r="E39" s="5">
        <v>25</v>
      </c>
      <c r="F39" s="6">
        <v>68.25</v>
      </c>
      <c r="G39" s="5" t="s">
        <v>159</v>
      </c>
      <c r="H39" s="6">
        <v>58</v>
      </c>
      <c r="I39" s="5" t="s">
        <v>159</v>
      </c>
      <c r="J39" s="6">
        <v>35.5</v>
      </c>
      <c r="K39" s="28">
        <f t="shared" si="4"/>
        <v>0.14052675000000001</v>
      </c>
      <c r="L39" s="37">
        <v>11.7</v>
      </c>
      <c r="M39" s="72">
        <f t="shared" si="5"/>
        <v>0.23399999999999999</v>
      </c>
      <c r="N39" s="5">
        <v>6505009090</v>
      </c>
      <c r="O39" s="17" t="s">
        <v>6</v>
      </c>
      <c r="P39" s="62">
        <v>2.7E-2</v>
      </c>
      <c r="Q39" s="57">
        <v>0.01</v>
      </c>
    </row>
    <row r="40" spans="1:17" s="3" customFormat="1" x14ac:dyDescent="0.2">
      <c r="A40" s="4" t="s">
        <v>281</v>
      </c>
      <c r="B40" s="4" t="s">
        <v>325</v>
      </c>
      <c r="C40" s="17" t="s">
        <v>9</v>
      </c>
      <c r="D40" s="17">
        <v>75</v>
      </c>
      <c r="E40" s="5">
        <v>25</v>
      </c>
      <c r="F40" s="6">
        <v>61</v>
      </c>
      <c r="G40" s="5" t="s">
        <v>159</v>
      </c>
      <c r="H40" s="6">
        <v>57</v>
      </c>
      <c r="I40" s="5" t="s">
        <v>159</v>
      </c>
      <c r="J40" s="6">
        <v>40</v>
      </c>
      <c r="K40" s="28">
        <f t="shared" si="4"/>
        <v>0.13907999999999998</v>
      </c>
      <c r="L40" s="37">
        <v>12.8</v>
      </c>
      <c r="M40" s="72">
        <f t="shared" si="5"/>
        <v>0.17066666666666669</v>
      </c>
      <c r="N40" s="5">
        <v>6505009090</v>
      </c>
      <c r="O40" s="17" t="s">
        <v>6</v>
      </c>
      <c r="P40" s="62">
        <v>2.7E-2</v>
      </c>
      <c r="Q40" s="57">
        <v>0.01</v>
      </c>
    </row>
    <row r="41" spans="1:17" s="27" customFormat="1" x14ac:dyDescent="0.2">
      <c r="A41" s="4" t="s">
        <v>282</v>
      </c>
      <c r="B41" s="4" t="s">
        <v>326</v>
      </c>
      <c r="C41" s="5" t="s">
        <v>9</v>
      </c>
      <c r="D41" s="5">
        <v>150</v>
      </c>
      <c r="E41" s="5">
        <v>25</v>
      </c>
      <c r="F41" s="6">
        <v>55</v>
      </c>
      <c r="G41" s="5" t="s">
        <v>159</v>
      </c>
      <c r="H41" s="6">
        <v>32.5</v>
      </c>
      <c r="I41" s="5" t="s">
        <v>159</v>
      </c>
      <c r="J41" s="6">
        <v>68</v>
      </c>
      <c r="K41" s="28">
        <f t="shared" si="4"/>
        <v>0.12154999999999999</v>
      </c>
      <c r="L41" s="6">
        <v>14.8</v>
      </c>
      <c r="M41" s="72">
        <f t="shared" si="5"/>
        <v>9.8666666666666666E-2</v>
      </c>
      <c r="N41" s="5">
        <v>6505003000</v>
      </c>
      <c r="O41" s="5" t="s">
        <v>6</v>
      </c>
      <c r="P41" s="62">
        <v>2.7E-2</v>
      </c>
      <c r="Q41" s="57">
        <v>0.01</v>
      </c>
    </row>
    <row r="42" spans="1:17" s="27" customFormat="1" x14ac:dyDescent="0.2">
      <c r="A42" s="4" t="s">
        <v>283</v>
      </c>
      <c r="B42" s="4" t="s">
        <v>120</v>
      </c>
      <c r="C42" s="5" t="s">
        <v>9</v>
      </c>
      <c r="D42" s="5">
        <v>150</v>
      </c>
      <c r="E42" s="5">
        <v>25</v>
      </c>
      <c r="F42" s="6">
        <v>56.25</v>
      </c>
      <c r="G42" s="5" t="s">
        <v>159</v>
      </c>
      <c r="H42" s="6">
        <v>32.5</v>
      </c>
      <c r="I42" s="5" t="s">
        <v>159</v>
      </c>
      <c r="J42" s="6">
        <v>68</v>
      </c>
      <c r="K42" s="28">
        <f t="shared" si="4"/>
        <v>0.12431249999999999</v>
      </c>
      <c r="L42" s="6">
        <v>15.25</v>
      </c>
      <c r="M42" s="72">
        <f t="shared" si="5"/>
        <v>0.10166666666666667</v>
      </c>
      <c r="N42" s="5">
        <v>6505003000</v>
      </c>
      <c r="O42" s="5" t="s">
        <v>6</v>
      </c>
      <c r="P42" s="62">
        <v>2.7E-2</v>
      </c>
      <c r="Q42" s="57">
        <v>0.01</v>
      </c>
    </row>
    <row r="43" spans="1:17" s="27" customFormat="1" x14ac:dyDescent="0.2">
      <c r="A43" s="4" t="s">
        <v>284</v>
      </c>
      <c r="B43" s="4" t="s">
        <v>339</v>
      </c>
      <c r="C43" s="5" t="s">
        <v>9</v>
      </c>
      <c r="D43" s="5">
        <v>150</v>
      </c>
      <c r="E43" s="5">
        <v>25</v>
      </c>
      <c r="F43" s="6">
        <v>50</v>
      </c>
      <c r="G43" s="5" t="s">
        <v>159</v>
      </c>
      <c r="H43" s="6">
        <v>31.1</v>
      </c>
      <c r="I43" s="5" t="s">
        <v>159</v>
      </c>
      <c r="J43" s="6">
        <v>62</v>
      </c>
      <c r="K43" s="28">
        <f t="shared" si="4"/>
        <v>9.6409999999999996E-2</v>
      </c>
      <c r="L43" s="6">
        <v>11.6</v>
      </c>
      <c r="M43" s="72">
        <f t="shared" si="5"/>
        <v>7.7333333333333337E-2</v>
      </c>
      <c r="N43" s="5">
        <v>6505003000</v>
      </c>
      <c r="O43" s="5" t="s">
        <v>6</v>
      </c>
      <c r="P43" s="62">
        <v>2.7E-2</v>
      </c>
      <c r="Q43" s="57">
        <v>0.01</v>
      </c>
    </row>
    <row r="44" spans="1:17" s="3" customFormat="1" x14ac:dyDescent="0.2">
      <c r="A44" s="4" t="s">
        <v>285</v>
      </c>
      <c r="B44" s="4" t="s">
        <v>121</v>
      </c>
      <c r="C44" s="17" t="s">
        <v>9</v>
      </c>
      <c r="D44" s="17">
        <v>150</v>
      </c>
      <c r="E44" s="5">
        <v>25</v>
      </c>
      <c r="F44" s="6">
        <v>60</v>
      </c>
      <c r="G44" s="5" t="s">
        <v>159</v>
      </c>
      <c r="H44" s="6">
        <v>40</v>
      </c>
      <c r="I44" s="5" t="s">
        <v>159</v>
      </c>
      <c r="J44" s="6">
        <v>52</v>
      </c>
      <c r="K44" s="28">
        <f t="shared" si="4"/>
        <v>0.12479999999999999</v>
      </c>
      <c r="L44" s="37">
        <v>17</v>
      </c>
      <c r="M44" s="72">
        <f t="shared" si="5"/>
        <v>0.11333333333333333</v>
      </c>
      <c r="N44" s="5">
        <v>6505009090</v>
      </c>
      <c r="O44" s="17" t="s">
        <v>6</v>
      </c>
      <c r="P44" s="62">
        <v>2.7E-2</v>
      </c>
      <c r="Q44" s="57">
        <v>0.01</v>
      </c>
    </row>
    <row r="45" spans="1:17" s="3" customFormat="1" x14ac:dyDescent="0.2">
      <c r="A45" s="4" t="s">
        <v>286</v>
      </c>
      <c r="B45" s="4" t="s">
        <v>122</v>
      </c>
      <c r="C45" s="17" t="s">
        <v>9</v>
      </c>
      <c r="D45" s="17">
        <v>150</v>
      </c>
      <c r="E45" s="5">
        <v>25</v>
      </c>
      <c r="F45" s="6">
        <v>60</v>
      </c>
      <c r="G45" s="5" t="s">
        <v>159</v>
      </c>
      <c r="H45" s="6">
        <v>40</v>
      </c>
      <c r="I45" s="5" t="s">
        <v>159</v>
      </c>
      <c r="J45" s="6">
        <v>47</v>
      </c>
      <c r="K45" s="28">
        <f t="shared" si="4"/>
        <v>0.1128</v>
      </c>
      <c r="L45" s="37">
        <v>13</v>
      </c>
      <c r="M45" s="72">
        <f t="shared" si="5"/>
        <v>8.666666666666667E-2</v>
      </c>
      <c r="N45" s="5">
        <v>6505009090</v>
      </c>
      <c r="O45" s="17" t="s">
        <v>6</v>
      </c>
      <c r="P45" s="62">
        <v>2.7E-2</v>
      </c>
      <c r="Q45" s="57">
        <v>0.01</v>
      </c>
    </row>
    <row r="46" spans="1:17" s="3" customFormat="1" x14ac:dyDescent="0.2">
      <c r="A46" s="4" t="s">
        <v>287</v>
      </c>
      <c r="B46" s="4" t="s">
        <v>123</v>
      </c>
      <c r="C46" s="17" t="s">
        <v>9</v>
      </c>
      <c r="D46" s="17">
        <v>150</v>
      </c>
      <c r="E46" s="5">
        <v>25</v>
      </c>
      <c r="F46" s="6">
        <v>60</v>
      </c>
      <c r="G46" s="5" t="s">
        <v>159</v>
      </c>
      <c r="H46" s="6">
        <v>40</v>
      </c>
      <c r="I46" s="5" t="s">
        <v>159</v>
      </c>
      <c r="J46" s="6">
        <v>46</v>
      </c>
      <c r="K46" s="28">
        <f t="shared" si="4"/>
        <v>0.1104</v>
      </c>
      <c r="L46" s="37">
        <v>18</v>
      </c>
      <c r="M46" s="72">
        <f t="shared" si="5"/>
        <v>0.12</v>
      </c>
      <c r="N46" s="5">
        <v>6505009090</v>
      </c>
      <c r="O46" s="17" t="s">
        <v>6</v>
      </c>
      <c r="P46" s="62">
        <v>2.7E-2</v>
      </c>
      <c r="Q46" s="57">
        <v>0.01</v>
      </c>
    </row>
    <row r="47" spans="1:17" s="27" customFormat="1" x14ac:dyDescent="0.2">
      <c r="A47" s="4" t="s">
        <v>288</v>
      </c>
      <c r="B47" s="4" t="s">
        <v>124</v>
      </c>
      <c r="C47" s="5" t="s">
        <v>9</v>
      </c>
      <c r="D47" s="5">
        <v>150</v>
      </c>
      <c r="E47" s="5">
        <v>25</v>
      </c>
      <c r="F47" s="6">
        <v>52</v>
      </c>
      <c r="G47" s="5" t="s">
        <v>159</v>
      </c>
      <c r="H47" s="6">
        <v>35.5</v>
      </c>
      <c r="I47" s="5" t="s">
        <v>159</v>
      </c>
      <c r="J47" s="6">
        <v>66.5</v>
      </c>
      <c r="K47" s="28">
        <f t="shared" ref="K47:K65" si="6">+(F47*H47*J47)*0.000001</f>
        <v>0.12275899999999999</v>
      </c>
      <c r="L47" s="6">
        <v>15</v>
      </c>
      <c r="M47" s="72">
        <f t="shared" ref="M47:M64" si="7">L47/D47</f>
        <v>0.1</v>
      </c>
      <c r="N47" s="5">
        <v>6505003000</v>
      </c>
      <c r="O47" s="5" t="s">
        <v>6</v>
      </c>
      <c r="P47" s="62">
        <v>2.7E-2</v>
      </c>
      <c r="Q47" s="57">
        <v>0.01</v>
      </c>
    </row>
    <row r="48" spans="1:17" s="27" customFormat="1" x14ac:dyDescent="0.2">
      <c r="A48" s="4" t="s">
        <v>289</v>
      </c>
      <c r="B48" s="4" t="s">
        <v>125</v>
      </c>
      <c r="C48" s="5" t="s">
        <v>559</v>
      </c>
      <c r="D48" s="5">
        <v>150</v>
      </c>
      <c r="E48" s="5">
        <v>25</v>
      </c>
      <c r="F48" s="6">
        <v>53</v>
      </c>
      <c r="G48" s="5" t="s">
        <v>159</v>
      </c>
      <c r="H48" s="6">
        <v>32</v>
      </c>
      <c r="I48" s="5" t="s">
        <v>159</v>
      </c>
      <c r="J48" s="6">
        <v>68</v>
      </c>
      <c r="K48" s="28">
        <f t="shared" si="6"/>
        <v>0.115328</v>
      </c>
      <c r="L48" s="6">
        <v>14</v>
      </c>
      <c r="M48" s="72">
        <f t="shared" si="7"/>
        <v>9.3333333333333338E-2</v>
      </c>
      <c r="N48" s="5">
        <v>6505003000</v>
      </c>
      <c r="O48" s="5" t="s">
        <v>6</v>
      </c>
      <c r="P48" s="62">
        <v>2.7E-2</v>
      </c>
      <c r="Q48" s="57">
        <v>0.01</v>
      </c>
    </row>
    <row r="49" spans="1:17" s="27" customFormat="1" x14ac:dyDescent="0.2">
      <c r="A49" s="4" t="s">
        <v>290</v>
      </c>
      <c r="B49" s="4" t="s">
        <v>126</v>
      </c>
      <c r="C49" s="5" t="s">
        <v>9</v>
      </c>
      <c r="D49" s="5">
        <v>150</v>
      </c>
      <c r="E49" s="5">
        <v>25</v>
      </c>
      <c r="F49" s="6">
        <v>53</v>
      </c>
      <c r="G49" s="5" t="s">
        <v>159</v>
      </c>
      <c r="H49" s="6">
        <v>32</v>
      </c>
      <c r="I49" s="5" t="s">
        <v>159</v>
      </c>
      <c r="J49" s="6">
        <v>68</v>
      </c>
      <c r="K49" s="28">
        <f t="shared" si="6"/>
        <v>0.115328</v>
      </c>
      <c r="L49" s="6">
        <v>14</v>
      </c>
      <c r="M49" s="72">
        <f t="shared" si="7"/>
        <v>9.3333333333333338E-2</v>
      </c>
      <c r="N49" s="5">
        <v>6505003000</v>
      </c>
      <c r="O49" s="5" t="s">
        <v>6</v>
      </c>
      <c r="P49" s="62">
        <v>2.7E-2</v>
      </c>
      <c r="Q49" s="57">
        <v>0.01</v>
      </c>
    </row>
    <row r="50" spans="1:17" s="27" customFormat="1" x14ac:dyDescent="0.2">
      <c r="A50" s="4" t="s">
        <v>291</v>
      </c>
      <c r="B50" s="4" t="s">
        <v>127</v>
      </c>
      <c r="C50" s="5" t="s">
        <v>9</v>
      </c>
      <c r="D50" s="5">
        <v>150</v>
      </c>
      <c r="E50" s="5">
        <v>25</v>
      </c>
      <c r="F50" s="6">
        <v>55</v>
      </c>
      <c r="G50" s="5" t="s">
        <v>159</v>
      </c>
      <c r="H50" s="6">
        <v>33</v>
      </c>
      <c r="I50" s="5" t="s">
        <v>159</v>
      </c>
      <c r="J50" s="6">
        <v>68</v>
      </c>
      <c r="K50" s="28">
        <f t="shared" si="6"/>
        <v>0.12341999999999999</v>
      </c>
      <c r="L50" s="6">
        <v>16.3</v>
      </c>
      <c r="M50" s="72">
        <f t="shared" si="7"/>
        <v>0.10866666666666668</v>
      </c>
      <c r="N50" s="5">
        <v>6505003000</v>
      </c>
      <c r="O50" s="5" t="s">
        <v>6</v>
      </c>
      <c r="P50" s="62">
        <v>2.7E-2</v>
      </c>
      <c r="Q50" s="57">
        <v>0.01</v>
      </c>
    </row>
    <row r="51" spans="1:17" s="27" customFormat="1" x14ac:dyDescent="0.2">
      <c r="A51" s="4" t="s">
        <v>292</v>
      </c>
      <c r="B51" s="4" t="s">
        <v>128</v>
      </c>
      <c r="C51" s="5" t="s">
        <v>9</v>
      </c>
      <c r="D51" s="5">
        <v>150</v>
      </c>
      <c r="E51" s="5">
        <v>25</v>
      </c>
      <c r="F51" s="6">
        <v>53</v>
      </c>
      <c r="G51" s="5" t="s">
        <v>159</v>
      </c>
      <c r="H51" s="6">
        <v>32</v>
      </c>
      <c r="I51" s="5" t="s">
        <v>159</v>
      </c>
      <c r="J51" s="6">
        <v>68</v>
      </c>
      <c r="K51" s="28">
        <f t="shared" si="6"/>
        <v>0.115328</v>
      </c>
      <c r="L51" s="6">
        <v>12.3</v>
      </c>
      <c r="M51" s="72">
        <f t="shared" si="7"/>
        <v>8.2000000000000003E-2</v>
      </c>
      <c r="N51" s="5">
        <v>6505003000</v>
      </c>
      <c r="O51" s="5" t="s">
        <v>6</v>
      </c>
      <c r="P51" s="62">
        <v>2.7E-2</v>
      </c>
      <c r="Q51" s="57">
        <v>0.01</v>
      </c>
    </row>
    <row r="52" spans="1:17" s="27" customFormat="1" x14ac:dyDescent="0.2">
      <c r="A52" s="4" t="s">
        <v>293</v>
      </c>
      <c r="B52" s="4" t="s">
        <v>327</v>
      </c>
      <c r="C52" s="5" t="s">
        <v>9</v>
      </c>
      <c r="D52" s="5">
        <v>150</v>
      </c>
      <c r="E52" s="5">
        <v>25</v>
      </c>
      <c r="F52" s="6">
        <v>53</v>
      </c>
      <c r="G52" s="5" t="s">
        <v>159</v>
      </c>
      <c r="H52" s="6">
        <v>32</v>
      </c>
      <c r="I52" s="5" t="s">
        <v>159</v>
      </c>
      <c r="J52" s="6">
        <v>68</v>
      </c>
      <c r="K52" s="28">
        <f t="shared" si="6"/>
        <v>0.115328</v>
      </c>
      <c r="L52" s="6">
        <v>12.5</v>
      </c>
      <c r="M52" s="72">
        <f t="shared" si="7"/>
        <v>8.3333333333333329E-2</v>
      </c>
      <c r="N52" s="5">
        <v>6505003000</v>
      </c>
      <c r="O52" s="5" t="s">
        <v>6</v>
      </c>
      <c r="P52" s="62">
        <v>2.7E-2</v>
      </c>
      <c r="Q52" s="57">
        <v>0.01</v>
      </c>
    </row>
    <row r="53" spans="1:17" s="27" customFormat="1" x14ac:dyDescent="0.2">
      <c r="A53" s="4" t="s">
        <v>294</v>
      </c>
      <c r="B53" s="4" t="s">
        <v>129</v>
      </c>
      <c r="C53" s="5" t="s">
        <v>9</v>
      </c>
      <c r="D53" s="5">
        <v>150</v>
      </c>
      <c r="E53" s="5">
        <v>25</v>
      </c>
      <c r="F53" s="6">
        <v>50.5</v>
      </c>
      <c r="G53" s="5" t="s">
        <v>159</v>
      </c>
      <c r="H53" s="6">
        <v>35.5</v>
      </c>
      <c r="I53" s="5" t="s">
        <v>159</v>
      </c>
      <c r="J53" s="6">
        <v>68</v>
      </c>
      <c r="K53" s="28">
        <f t="shared" si="6"/>
        <v>0.12190699999999999</v>
      </c>
      <c r="L53" s="6">
        <v>13</v>
      </c>
      <c r="M53" s="72">
        <f t="shared" si="7"/>
        <v>8.666666666666667E-2</v>
      </c>
      <c r="N53" s="5">
        <v>6505003000</v>
      </c>
      <c r="O53" s="5" t="s">
        <v>6</v>
      </c>
      <c r="P53" s="62">
        <v>2.7E-2</v>
      </c>
      <c r="Q53" s="57">
        <v>0.01</v>
      </c>
    </row>
    <row r="54" spans="1:17" s="27" customFormat="1" x14ac:dyDescent="0.2">
      <c r="A54" s="4" t="s">
        <v>295</v>
      </c>
      <c r="B54" s="4" t="s">
        <v>130</v>
      </c>
      <c r="C54" s="5" t="s">
        <v>9</v>
      </c>
      <c r="D54" s="5">
        <v>150</v>
      </c>
      <c r="E54" s="5">
        <v>25</v>
      </c>
      <c r="F54" s="28">
        <v>59.25</v>
      </c>
      <c r="G54" s="5" t="s">
        <v>159</v>
      </c>
      <c r="H54" s="6">
        <v>39</v>
      </c>
      <c r="I54" s="5" t="s">
        <v>159</v>
      </c>
      <c r="J54" s="6">
        <v>48.5</v>
      </c>
      <c r="K54" s="28">
        <f t="shared" si="6"/>
        <v>0.112071375</v>
      </c>
      <c r="L54" s="6">
        <v>16.5</v>
      </c>
      <c r="M54" s="72">
        <f t="shared" si="7"/>
        <v>0.11</v>
      </c>
      <c r="N54" s="5">
        <v>6505003000</v>
      </c>
      <c r="O54" s="5" t="s">
        <v>6</v>
      </c>
      <c r="P54" s="62">
        <v>2.7E-2</v>
      </c>
      <c r="Q54" s="57">
        <v>0.01</v>
      </c>
    </row>
    <row r="55" spans="1:17" s="27" customFormat="1" x14ac:dyDescent="0.2">
      <c r="A55" s="4" t="s">
        <v>297</v>
      </c>
      <c r="B55" s="4" t="s">
        <v>329</v>
      </c>
      <c r="C55" s="5" t="s">
        <v>9</v>
      </c>
      <c r="D55" s="5">
        <v>150</v>
      </c>
      <c r="E55" s="5">
        <v>25</v>
      </c>
      <c r="F55" s="6">
        <v>49</v>
      </c>
      <c r="G55" s="5" t="s">
        <v>159</v>
      </c>
      <c r="H55" s="6">
        <v>31.5</v>
      </c>
      <c r="I55" s="5" t="s">
        <v>159</v>
      </c>
      <c r="J55" s="6">
        <v>68</v>
      </c>
      <c r="K55" s="28">
        <f t="shared" si="6"/>
        <v>0.104958</v>
      </c>
      <c r="L55" s="6">
        <v>14.3</v>
      </c>
      <c r="M55" s="72">
        <f t="shared" si="7"/>
        <v>9.5333333333333339E-2</v>
      </c>
      <c r="N55" s="5">
        <v>6505003000</v>
      </c>
      <c r="O55" s="5" t="s">
        <v>6</v>
      </c>
      <c r="P55" s="62">
        <v>2.7E-2</v>
      </c>
      <c r="Q55" s="57">
        <v>0.01</v>
      </c>
    </row>
    <row r="56" spans="1:17" s="27" customFormat="1" x14ac:dyDescent="0.2">
      <c r="A56" s="4" t="s">
        <v>296</v>
      </c>
      <c r="B56" s="4" t="s">
        <v>328</v>
      </c>
      <c r="C56" s="5" t="s">
        <v>9</v>
      </c>
      <c r="D56" s="5">
        <v>150</v>
      </c>
      <c r="E56" s="5">
        <v>25</v>
      </c>
      <c r="F56" s="6">
        <v>49</v>
      </c>
      <c r="G56" s="5" t="s">
        <v>159</v>
      </c>
      <c r="H56" s="6">
        <v>31.5</v>
      </c>
      <c r="I56" s="5" t="s">
        <v>159</v>
      </c>
      <c r="J56" s="6">
        <v>68</v>
      </c>
      <c r="K56" s="28">
        <f t="shared" si="6"/>
        <v>0.104958</v>
      </c>
      <c r="L56" s="6">
        <v>14.3</v>
      </c>
      <c r="M56" s="72">
        <f t="shared" si="7"/>
        <v>9.5333333333333339E-2</v>
      </c>
      <c r="N56" s="5">
        <v>6505003000</v>
      </c>
      <c r="O56" s="5" t="s">
        <v>6</v>
      </c>
      <c r="P56" s="62">
        <v>2.7E-2</v>
      </c>
      <c r="Q56" s="57">
        <v>0.01</v>
      </c>
    </row>
    <row r="57" spans="1:17" s="27" customFormat="1" x14ac:dyDescent="0.2">
      <c r="A57" s="4" t="s">
        <v>298</v>
      </c>
      <c r="B57" s="4" t="s">
        <v>131</v>
      </c>
      <c r="C57" s="5" t="s">
        <v>9</v>
      </c>
      <c r="D57" s="5">
        <v>150</v>
      </c>
      <c r="E57" s="5">
        <v>25</v>
      </c>
      <c r="F57" s="6">
        <v>53</v>
      </c>
      <c r="G57" s="5" t="s">
        <v>159</v>
      </c>
      <c r="H57" s="6">
        <v>32</v>
      </c>
      <c r="I57" s="5" t="s">
        <v>159</v>
      </c>
      <c r="J57" s="6">
        <v>68</v>
      </c>
      <c r="K57" s="28">
        <f t="shared" si="6"/>
        <v>0.115328</v>
      </c>
      <c r="L57" s="6">
        <v>10</v>
      </c>
      <c r="M57" s="72">
        <f t="shared" si="7"/>
        <v>6.6666666666666666E-2</v>
      </c>
      <c r="N57" s="5">
        <v>6505003000</v>
      </c>
      <c r="O57" s="5" t="s">
        <v>6</v>
      </c>
      <c r="P57" s="62">
        <v>2.7E-2</v>
      </c>
      <c r="Q57" s="57">
        <v>0.01</v>
      </c>
    </row>
    <row r="58" spans="1:17" s="27" customFormat="1" x14ac:dyDescent="0.2">
      <c r="A58" s="4" t="s">
        <v>299</v>
      </c>
      <c r="B58" s="4" t="s">
        <v>132</v>
      </c>
      <c r="C58" s="5" t="s">
        <v>9</v>
      </c>
      <c r="D58" s="5">
        <v>150</v>
      </c>
      <c r="E58" s="5">
        <v>25</v>
      </c>
      <c r="F58" s="6">
        <v>53</v>
      </c>
      <c r="G58" s="5" t="s">
        <v>159</v>
      </c>
      <c r="H58" s="6">
        <v>32</v>
      </c>
      <c r="I58" s="5" t="s">
        <v>159</v>
      </c>
      <c r="J58" s="6">
        <v>68</v>
      </c>
      <c r="K58" s="28">
        <f t="shared" si="6"/>
        <v>0.115328</v>
      </c>
      <c r="L58" s="6">
        <v>9.5</v>
      </c>
      <c r="M58" s="72">
        <f t="shared" si="7"/>
        <v>6.3333333333333339E-2</v>
      </c>
      <c r="N58" s="5">
        <v>6505003000</v>
      </c>
      <c r="O58" s="5" t="s">
        <v>6</v>
      </c>
      <c r="P58" s="62">
        <v>2.7E-2</v>
      </c>
      <c r="Q58" s="57">
        <v>0.01</v>
      </c>
    </row>
    <row r="59" spans="1:17" s="27" customFormat="1" x14ac:dyDescent="0.2">
      <c r="A59" s="4" t="s">
        <v>300</v>
      </c>
      <c r="B59" s="4" t="s">
        <v>133</v>
      </c>
      <c r="C59" s="5" t="s">
        <v>9</v>
      </c>
      <c r="D59" s="5">
        <v>150</v>
      </c>
      <c r="E59" s="5">
        <v>25</v>
      </c>
      <c r="F59" s="28">
        <v>50.25</v>
      </c>
      <c r="G59" s="5" t="s">
        <v>159</v>
      </c>
      <c r="H59" s="6">
        <v>35.5</v>
      </c>
      <c r="I59" s="5" t="s">
        <v>159</v>
      </c>
      <c r="J59" s="6">
        <v>65</v>
      </c>
      <c r="K59" s="28">
        <f t="shared" si="6"/>
        <v>0.115951875</v>
      </c>
      <c r="L59" s="6">
        <v>16</v>
      </c>
      <c r="M59" s="72">
        <f t="shared" si="7"/>
        <v>0.10666666666666667</v>
      </c>
      <c r="N59" s="5">
        <v>6505003000</v>
      </c>
      <c r="O59" s="5" t="s">
        <v>6</v>
      </c>
      <c r="P59" s="62">
        <v>2.7E-2</v>
      </c>
      <c r="Q59" s="57">
        <v>0.01</v>
      </c>
    </row>
    <row r="60" spans="1:17" s="27" customFormat="1" x14ac:dyDescent="0.2">
      <c r="A60" s="4" t="s">
        <v>301</v>
      </c>
      <c r="B60" s="4" t="s">
        <v>330</v>
      </c>
      <c r="C60" s="5" t="s">
        <v>9</v>
      </c>
      <c r="D60" s="5">
        <v>150</v>
      </c>
      <c r="E60" s="5">
        <v>25</v>
      </c>
      <c r="F60" s="6">
        <v>55</v>
      </c>
      <c r="G60" s="5" t="s">
        <v>159</v>
      </c>
      <c r="H60" s="6">
        <v>33</v>
      </c>
      <c r="I60" s="5" t="s">
        <v>159</v>
      </c>
      <c r="J60" s="6">
        <v>68</v>
      </c>
      <c r="K60" s="28">
        <f t="shared" si="6"/>
        <v>0.12341999999999999</v>
      </c>
      <c r="L60" s="6">
        <v>14.7</v>
      </c>
      <c r="M60" s="72">
        <f t="shared" si="7"/>
        <v>9.799999999999999E-2</v>
      </c>
      <c r="N60" s="5">
        <v>6505003000</v>
      </c>
      <c r="O60" s="5" t="s">
        <v>6</v>
      </c>
      <c r="P60" s="62">
        <v>2.7E-2</v>
      </c>
      <c r="Q60" s="57">
        <v>0.01</v>
      </c>
    </row>
    <row r="61" spans="1:17" s="27" customFormat="1" x14ac:dyDescent="0.2">
      <c r="A61" s="8" t="s">
        <v>302</v>
      </c>
      <c r="B61" s="8" t="s">
        <v>331</v>
      </c>
      <c r="C61" s="5" t="s">
        <v>9</v>
      </c>
      <c r="D61" s="9">
        <v>150</v>
      </c>
      <c r="E61" s="5">
        <v>25</v>
      </c>
      <c r="F61" s="6">
        <v>57</v>
      </c>
      <c r="G61" s="5" t="s">
        <v>159</v>
      </c>
      <c r="H61" s="6">
        <v>34.5</v>
      </c>
      <c r="I61" s="5" t="s">
        <v>159</v>
      </c>
      <c r="J61" s="6">
        <v>68</v>
      </c>
      <c r="K61" s="28">
        <f t="shared" si="6"/>
        <v>0.13372200000000001</v>
      </c>
      <c r="L61" s="10">
        <v>15</v>
      </c>
      <c r="M61" s="72">
        <f t="shared" si="7"/>
        <v>0.1</v>
      </c>
      <c r="N61" s="5">
        <v>6505003000</v>
      </c>
      <c r="O61" s="5" t="s">
        <v>6</v>
      </c>
      <c r="P61" s="62">
        <v>2.7E-2</v>
      </c>
      <c r="Q61" s="57">
        <v>0.01</v>
      </c>
    </row>
    <row r="62" spans="1:17" s="3" customFormat="1" x14ac:dyDescent="0.2">
      <c r="A62" s="8" t="s">
        <v>303</v>
      </c>
      <c r="B62" s="8" t="s">
        <v>134</v>
      </c>
      <c r="C62" s="17" t="s">
        <v>9</v>
      </c>
      <c r="D62" s="17">
        <v>150</v>
      </c>
      <c r="E62" s="5">
        <v>25</v>
      </c>
      <c r="F62" s="6">
        <v>60</v>
      </c>
      <c r="G62" s="5" t="s">
        <v>159</v>
      </c>
      <c r="H62" s="6">
        <v>40</v>
      </c>
      <c r="I62" s="5" t="s">
        <v>159</v>
      </c>
      <c r="J62" s="6">
        <v>36</v>
      </c>
      <c r="K62" s="28">
        <f>+(F62*H62*J62)*0.000001</f>
        <v>8.6399999999999991E-2</v>
      </c>
      <c r="L62" s="39">
        <v>13</v>
      </c>
      <c r="M62" s="73">
        <v>8.5999999999999993E-2</v>
      </c>
      <c r="N62" s="5">
        <v>6505009090</v>
      </c>
      <c r="O62" s="17" t="s">
        <v>6</v>
      </c>
      <c r="P62" s="62">
        <v>2.7E-2</v>
      </c>
      <c r="Q62" s="57">
        <v>0.01</v>
      </c>
    </row>
    <row r="63" spans="1:17" s="27" customFormat="1" x14ac:dyDescent="0.2">
      <c r="A63" s="8" t="s">
        <v>333</v>
      </c>
      <c r="B63" s="8" t="s">
        <v>340</v>
      </c>
      <c r="C63" s="5" t="s">
        <v>9</v>
      </c>
      <c r="D63" s="14">
        <v>150</v>
      </c>
      <c r="E63" s="17">
        <v>25</v>
      </c>
      <c r="F63" s="21">
        <v>55</v>
      </c>
      <c r="G63" s="17" t="s">
        <v>159</v>
      </c>
      <c r="H63" s="21">
        <v>31</v>
      </c>
      <c r="I63" s="17" t="s">
        <v>159</v>
      </c>
      <c r="J63" s="21">
        <v>68</v>
      </c>
      <c r="K63" s="38">
        <f t="shared" si="6"/>
        <v>0.11594</v>
      </c>
      <c r="L63" s="15">
        <v>13.8</v>
      </c>
      <c r="M63" s="72">
        <f t="shared" si="7"/>
        <v>9.1999999999999998E-2</v>
      </c>
      <c r="N63" s="5">
        <v>6505003000</v>
      </c>
      <c r="O63" s="5" t="s">
        <v>6</v>
      </c>
      <c r="P63" s="62">
        <v>2.7E-2</v>
      </c>
      <c r="Q63" s="57">
        <v>0.01</v>
      </c>
    </row>
    <row r="64" spans="1:17" s="27" customFormat="1" x14ac:dyDescent="0.2">
      <c r="A64" s="8" t="s">
        <v>332</v>
      </c>
      <c r="B64" s="8" t="s">
        <v>341</v>
      </c>
      <c r="C64" s="5" t="s">
        <v>9</v>
      </c>
      <c r="D64" s="14">
        <v>150</v>
      </c>
      <c r="E64" s="17">
        <v>25</v>
      </c>
      <c r="F64" s="21">
        <v>57</v>
      </c>
      <c r="G64" s="17" t="s">
        <v>159</v>
      </c>
      <c r="H64" s="21">
        <v>32</v>
      </c>
      <c r="I64" s="17" t="s">
        <v>159</v>
      </c>
      <c r="J64" s="21">
        <v>68</v>
      </c>
      <c r="K64" s="38">
        <f t="shared" si="6"/>
        <v>0.12403199999999999</v>
      </c>
      <c r="L64" s="15">
        <v>16.2</v>
      </c>
      <c r="M64" s="72">
        <f t="shared" si="7"/>
        <v>0.108</v>
      </c>
      <c r="N64" s="5">
        <v>6505003000</v>
      </c>
      <c r="O64" s="5" t="s">
        <v>6</v>
      </c>
      <c r="P64" s="62">
        <v>2.7E-2</v>
      </c>
      <c r="Q64" s="57">
        <v>0.01</v>
      </c>
    </row>
    <row r="65" spans="1:17" s="27" customFormat="1" x14ac:dyDescent="0.2">
      <c r="A65" s="225" t="s">
        <v>334</v>
      </c>
      <c r="B65" s="225" t="s">
        <v>335</v>
      </c>
      <c r="C65" s="9" t="s">
        <v>528</v>
      </c>
      <c r="D65" s="239">
        <v>150</v>
      </c>
      <c r="E65" s="195">
        <v>25</v>
      </c>
      <c r="F65" s="240">
        <v>51</v>
      </c>
      <c r="G65" s="195" t="s">
        <v>159</v>
      </c>
      <c r="H65" s="240">
        <v>32</v>
      </c>
      <c r="I65" s="195" t="s">
        <v>159</v>
      </c>
      <c r="J65" s="240">
        <v>68</v>
      </c>
      <c r="K65" s="246">
        <f t="shared" si="6"/>
        <v>0.11097599999999999</v>
      </c>
      <c r="L65" s="15">
        <v>12.8</v>
      </c>
      <c r="M65" s="247">
        <f>12.8/150</f>
        <v>8.5333333333333344E-2</v>
      </c>
      <c r="N65" s="208">
        <v>6505003000</v>
      </c>
      <c r="O65" s="208" t="s">
        <v>6</v>
      </c>
      <c r="P65" s="237">
        <v>2.7E-2</v>
      </c>
      <c r="Q65" s="57">
        <v>0.01</v>
      </c>
    </row>
    <row r="66" spans="1:17" s="27" customFormat="1" x14ac:dyDescent="0.2">
      <c r="A66" s="225"/>
      <c r="B66" s="225"/>
      <c r="C66" s="9" t="s">
        <v>155</v>
      </c>
      <c r="D66" s="239"/>
      <c r="E66" s="195"/>
      <c r="F66" s="240"/>
      <c r="G66" s="195"/>
      <c r="H66" s="240"/>
      <c r="I66" s="195"/>
      <c r="J66" s="240"/>
      <c r="K66" s="246"/>
      <c r="L66" s="15">
        <v>13</v>
      </c>
      <c r="M66" s="247"/>
      <c r="N66" s="208"/>
      <c r="O66" s="208"/>
      <c r="P66" s="237"/>
      <c r="Q66" s="57">
        <v>0.01</v>
      </c>
    </row>
    <row r="67" spans="1:17" s="27" customFormat="1" x14ac:dyDescent="0.2">
      <c r="A67" s="225"/>
      <c r="B67" s="225"/>
      <c r="C67" s="9" t="s">
        <v>171</v>
      </c>
      <c r="D67" s="239"/>
      <c r="E67" s="195"/>
      <c r="F67" s="240"/>
      <c r="G67" s="195"/>
      <c r="H67" s="240"/>
      <c r="I67" s="195"/>
      <c r="J67" s="240"/>
      <c r="K67" s="246"/>
      <c r="L67" s="15">
        <v>14</v>
      </c>
      <c r="M67" s="247"/>
      <c r="N67" s="208"/>
      <c r="O67" s="208"/>
      <c r="P67" s="237"/>
      <c r="Q67" s="57">
        <v>0.01</v>
      </c>
    </row>
    <row r="68" spans="1:17" s="27" customFormat="1" x14ac:dyDescent="0.2">
      <c r="A68" s="8" t="s">
        <v>336</v>
      </c>
      <c r="B68" s="8" t="s">
        <v>337</v>
      </c>
      <c r="C68" s="5" t="s">
        <v>9</v>
      </c>
      <c r="D68" s="14">
        <v>150</v>
      </c>
      <c r="E68" s="17">
        <v>25</v>
      </c>
      <c r="F68" s="21">
        <v>51</v>
      </c>
      <c r="G68" s="17" t="s">
        <v>159</v>
      </c>
      <c r="H68" s="21">
        <v>32</v>
      </c>
      <c r="I68" s="17" t="s">
        <v>159</v>
      </c>
      <c r="J68" s="21">
        <v>68</v>
      </c>
      <c r="K68" s="38">
        <f t="shared" ref="K68:K81" si="8">+(F68*H68*J68)*0.000001</f>
        <v>0.11097599999999999</v>
      </c>
      <c r="L68" s="15">
        <v>11.3</v>
      </c>
      <c r="M68" s="72">
        <f>L68/D68</f>
        <v>7.5333333333333335E-2</v>
      </c>
      <c r="N68" s="5">
        <v>6505003000</v>
      </c>
      <c r="O68" s="5" t="s">
        <v>6</v>
      </c>
      <c r="P68" s="62">
        <v>2.7E-2</v>
      </c>
      <c r="Q68" s="57">
        <v>0.01</v>
      </c>
    </row>
    <row r="69" spans="1:17" s="27" customFormat="1" x14ac:dyDescent="0.2">
      <c r="A69" s="8" t="s">
        <v>338</v>
      </c>
      <c r="B69" s="8" t="s">
        <v>342</v>
      </c>
      <c r="C69" s="5" t="s">
        <v>9</v>
      </c>
      <c r="D69" s="14">
        <v>75</v>
      </c>
      <c r="E69" s="17">
        <v>25</v>
      </c>
      <c r="F69" s="21">
        <v>58</v>
      </c>
      <c r="G69" s="17" t="s">
        <v>159</v>
      </c>
      <c r="H69" s="21">
        <v>24.5</v>
      </c>
      <c r="I69" s="17" t="s">
        <v>159</v>
      </c>
      <c r="J69" s="21">
        <v>64</v>
      </c>
      <c r="K69" s="38">
        <f t="shared" si="8"/>
        <v>9.0943999999999997E-2</v>
      </c>
      <c r="L69" s="15">
        <v>8.4</v>
      </c>
      <c r="M69" s="74">
        <f>6.8/75</f>
        <v>9.0666666666666659E-2</v>
      </c>
      <c r="N69" s="5">
        <v>6505003000</v>
      </c>
      <c r="O69" s="5" t="s">
        <v>6</v>
      </c>
      <c r="P69" s="62">
        <v>2.7E-2</v>
      </c>
      <c r="Q69" s="57">
        <v>0.01</v>
      </c>
    </row>
    <row r="70" spans="1:17" x14ac:dyDescent="0.2">
      <c r="A70" s="8" t="s">
        <v>547</v>
      </c>
      <c r="B70" s="8" t="s">
        <v>548</v>
      </c>
      <c r="C70" s="5" t="s">
        <v>9</v>
      </c>
      <c r="D70" s="14">
        <v>200</v>
      </c>
      <c r="E70" s="17">
        <v>25</v>
      </c>
      <c r="F70" s="21">
        <v>60</v>
      </c>
      <c r="G70" s="17" t="s">
        <v>159</v>
      </c>
      <c r="H70" s="21">
        <v>38</v>
      </c>
      <c r="I70" s="17" t="s">
        <v>159</v>
      </c>
      <c r="J70" s="21">
        <v>45</v>
      </c>
      <c r="K70" s="38">
        <f t="shared" si="8"/>
        <v>0.1026</v>
      </c>
      <c r="L70" s="21">
        <v>14</v>
      </c>
      <c r="M70" s="22">
        <f>11/150</f>
        <v>7.3333333333333334E-2</v>
      </c>
      <c r="N70" s="5">
        <v>6505003000</v>
      </c>
      <c r="O70" s="5" t="s">
        <v>6</v>
      </c>
      <c r="P70" s="62">
        <v>2.7E-2</v>
      </c>
      <c r="Q70" s="57">
        <v>0.01</v>
      </c>
    </row>
    <row r="71" spans="1:17" x14ac:dyDescent="0.2">
      <c r="A71" s="8" t="s">
        <v>549</v>
      </c>
      <c r="B71" s="8" t="s">
        <v>554</v>
      </c>
      <c r="C71" s="5" t="s">
        <v>9</v>
      </c>
      <c r="D71" s="14">
        <v>150</v>
      </c>
      <c r="E71" s="17">
        <v>25</v>
      </c>
      <c r="F71" s="21">
        <v>50</v>
      </c>
      <c r="G71" s="17" t="s">
        <v>159</v>
      </c>
      <c r="H71" s="21">
        <v>40</v>
      </c>
      <c r="I71" s="17" t="s">
        <v>159</v>
      </c>
      <c r="J71" s="21">
        <v>57</v>
      </c>
      <c r="K71" s="38">
        <f t="shared" si="8"/>
        <v>0.11399999999999999</v>
      </c>
      <c r="L71" s="21">
        <v>15</v>
      </c>
      <c r="M71" s="22">
        <f>13/150</f>
        <v>8.666666666666667E-2</v>
      </c>
      <c r="N71" s="5">
        <v>6505003000</v>
      </c>
      <c r="O71" s="5" t="s">
        <v>6</v>
      </c>
      <c r="P71" s="62">
        <v>2.7E-2</v>
      </c>
      <c r="Q71" s="57">
        <v>0.01</v>
      </c>
    </row>
    <row r="72" spans="1:17" x14ac:dyDescent="0.2">
      <c r="A72" s="8" t="s">
        <v>550</v>
      </c>
      <c r="B72" s="8" t="s">
        <v>555</v>
      </c>
      <c r="C72" s="5" t="s">
        <v>9</v>
      </c>
      <c r="D72" s="14">
        <v>150</v>
      </c>
      <c r="E72" s="17">
        <v>25</v>
      </c>
      <c r="F72" s="21">
        <v>70</v>
      </c>
      <c r="G72" s="17" t="s">
        <v>159</v>
      </c>
      <c r="H72" s="21">
        <v>38</v>
      </c>
      <c r="I72" s="17" t="s">
        <v>159</v>
      </c>
      <c r="J72" s="21">
        <v>45</v>
      </c>
      <c r="K72" s="38">
        <f t="shared" si="8"/>
        <v>0.1197</v>
      </c>
      <c r="L72" s="21">
        <v>13</v>
      </c>
      <c r="M72" s="22">
        <f>11/150</f>
        <v>7.3333333333333334E-2</v>
      </c>
      <c r="N72" s="5">
        <v>6505003000</v>
      </c>
      <c r="O72" s="5" t="s">
        <v>6</v>
      </c>
      <c r="P72" s="62">
        <v>2.7E-2</v>
      </c>
      <c r="Q72" s="57">
        <v>0.01</v>
      </c>
    </row>
    <row r="73" spans="1:17" x14ac:dyDescent="0.2">
      <c r="A73" s="8" t="s">
        <v>551</v>
      </c>
      <c r="B73" s="8" t="s">
        <v>556</v>
      </c>
      <c r="C73" s="5" t="s">
        <v>9</v>
      </c>
      <c r="D73" s="14">
        <v>150</v>
      </c>
      <c r="E73" s="17">
        <v>25</v>
      </c>
      <c r="F73" s="21">
        <v>70</v>
      </c>
      <c r="G73" s="17" t="s">
        <v>159</v>
      </c>
      <c r="H73" s="21">
        <v>38</v>
      </c>
      <c r="I73" s="17" t="s">
        <v>159</v>
      </c>
      <c r="J73" s="21">
        <v>45</v>
      </c>
      <c r="K73" s="38">
        <f t="shared" si="8"/>
        <v>0.1197</v>
      </c>
      <c r="L73" s="21">
        <v>13</v>
      </c>
      <c r="M73" s="22">
        <f>11/150</f>
        <v>7.3333333333333334E-2</v>
      </c>
      <c r="N73" s="5">
        <v>6505003000</v>
      </c>
      <c r="O73" s="5" t="s">
        <v>6</v>
      </c>
      <c r="P73" s="62">
        <v>2.7E-2</v>
      </c>
      <c r="Q73" s="57">
        <v>0.01</v>
      </c>
    </row>
    <row r="74" spans="1:17" x14ac:dyDescent="0.2">
      <c r="A74" s="8" t="s">
        <v>573</v>
      </c>
      <c r="B74" s="8" t="s">
        <v>574</v>
      </c>
      <c r="C74" s="5" t="s">
        <v>9</v>
      </c>
      <c r="D74" s="14">
        <v>200</v>
      </c>
      <c r="E74" s="17">
        <v>25</v>
      </c>
      <c r="F74" s="21">
        <v>60</v>
      </c>
      <c r="G74" s="17" t="s">
        <v>159</v>
      </c>
      <c r="H74" s="21">
        <v>38</v>
      </c>
      <c r="I74" s="17" t="s">
        <v>159</v>
      </c>
      <c r="J74" s="21">
        <v>45</v>
      </c>
      <c r="K74" s="38">
        <f t="shared" si="8"/>
        <v>0.1026</v>
      </c>
      <c r="L74" s="21">
        <v>16</v>
      </c>
      <c r="M74" s="22">
        <f>12/150</f>
        <v>0.08</v>
      </c>
      <c r="N74" s="5">
        <v>6505003000</v>
      </c>
      <c r="O74" s="5" t="s">
        <v>6</v>
      </c>
      <c r="P74" s="62">
        <v>2.7E-2</v>
      </c>
      <c r="Q74" s="57">
        <v>0.01</v>
      </c>
    </row>
    <row r="75" spans="1:17" x14ac:dyDescent="0.2">
      <c r="A75" s="8" t="s">
        <v>854</v>
      </c>
      <c r="B75" s="8" t="s">
        <v>855</v>
      </c>
      <c r="C75" s="5" t="s">
        <v>9</v>
      </c>
      <c r="D75" s="14">
        <v>200</v>
      </c>
      <c r="E75" s="17">
        <v>50</v>
      </c>
      <c r="F75" s="14">
        <v>57</v>
      </c>
      <c r="G75" s="17" t="s">
        <v>159</v>
      </c>
      <c r="H75" s="14">
        <v>40</v>
      </c>
      <c r="I75" s="17" t="s">
        <v>159</v>
      </c>
      <c r="J75" s="14">
        <v>38</v>
      </c>
      <c r="K75" s="38">
        <f t="shared" si="8"/>
        <v>8.6639999999999995E-2</v>
      </c>
      <c r="L75" s="21">
        <v>16</v>
      </c>
      <c r="M75" s="22">
        <f>12/150</f>
        <v>0.08</v>
      </c>
      <c r="N75" s="5">
        <v>6505003000</v>
      </c>
      <c r="O75" s="5" t="s">
        <v>6</v>
      </c>
      <c r="P75" s="84"/>
      <c r="Q75" s="57"/>
    </row>
    <row r="76" spans="1:17" x14ac:dyDescent="0.2">
      <c r="A76" s="8" t="s">
        <v>552</v>
      </c>
      <c r="B76" s="8" t="s">
        <v>557</v>
      </c>
      <c r="C76" s="5" t="s">
        <v>9</v>
      </c>
      <c r="D76" s="14">
        <v>150</v>
      </c>
      <c r="E76" s="17">
        <v>25</v>
      </c>
      <c r="F76" s="21">
        <v>50</v>
      </c>
      <c r="G76" s="17" t="s">
        <v>159</v>
      </c>
      <c r="H76" s="21">
        <v>40</v>
      </c>
      <c r="I76" s="17" t="s">
        <v>159</v>
      </c>
      <c r="J76" s="21">
        <v>57</v>
      </c>
      <c r="K76" s="38">
        <f t="shared" si="8"/>
        <v>0.11399999999999999</v>
      </c>
      <c r="L76" s="21">
        <v>15</v>
      </c>
      <c r="M76" s="22">
        <f>13/150</f>
        <v>8.666666666666667E-2</v>
      </c>
      <c r="N76" s="5">
        <v>6505003000</v>
      </c>
      <c r="O76" s="5" t="s">
        <v>6</v>
      </c>
      <c r="P76" s="62">
        <v>2.7E-2</v>
      </c>
      <c r="Q76" s="57">
        <v>0.01</v>
      </c>
    </row>
    <row r="77" spans="1:17" s="49" customFormat="1" x14ac:dyDescent="0.2">
      <c r="A77" s="13" t="s">
        <v>553</v>
      </c>
      <c r="B77" s="13" t="s">
        <v>558</v>
      </c>
      <c r="C77" s="17" t="s">
        <v>9</v>
      </c>
      <c r="D77" s="14">
        <v>150</v>
      </c>
      <c r="E77" s="17">
        <v>25</v>
      </c>
      <c r="F77" s="21">
        <v>43</v>
      </c>
      <c r="G77" s="17" t="s">
        <v>159</v>
      </c>
      <c r="H77" s="21">
        <v>39</v>
      </c>
      <c r="I77" s="17" t="s">
        <v>159</v>
      </c>
      <c r="J77" s="21">
        <v>45</v>
      </c>
      <c r="K77" s="38">
        <f t="shared" si="8"/>
        <v>7.546499999999999E-2</v>
      </c>
      <c r="L77" s="21">
        <v>10</v>
      </c>
      <c r="M77" s="22">
        <f>8/D77</f>
        <v>5.3333333333333337E-2</v>
      </c>
      <c r="N77" s="17">
        <v>6505003000</v>
      </c>
      <c r="O77" s="17" t="s">
        <v>6</v>
      </c>
      <c r="P77" s="62">
        <v>2.7E-2</v>
      </c>
      <c r="Q77" s="57">
        <v>0.01</v>
      </c>
    </row>
    <row r="78" spans="1:17" s="49" customFormat="1" x14ac:dyDescent="0.2">
      <c r="A78" s="13" t="s">
        <v>936</v>
      </c>
      <c r="B78" s="13" t="s">
        <v>937</v>
      </c>
      <c r="C78" s="17" t="s">
        <v>9</v>
      </c>
      <c r="D78" s="14">
        <v>150</v>
      </c>
      <c r="E78" s="17">
        <v>25</v>
      </c>
      <c r="F78" s="21">
        <v>60</v>
      </c>
      <c r="G78" s="17" t="s">
        <v>159</v>
      </c>
      <c r="H78" s="21">
        <v>40</v>
      </c>
      <c r="I78" s="17" t="s">
        <v>159</v>
      </c>
      <c r="J78" s="21">
        <v>50</v>
      </c>
      <c r="K78" s="38">
        <f t="shared" si="8"/>
        <v>0.12</v>
      </c>
      <c r="L78" s="21">
        <v>13</v>
      </c>
      <c r="M78" s="22">
        <v>7.3333333333333334E-2</v>
      </c>
      <c r="N78" s="17">
        <v>6505003000</v>
      </c>
      <c r="O78" s="17" t="s">
        <v>6</v>
      </c>
      <c r="P78" s="95"/>
      <c r="Q78" s="57"/>
    </row>
    <row r="79" spans="1:17" s="49" customFormat="1" x14ac:dyDescent="0.2">
      <c r="A79" s="13" t="s">
        <v>938</v>
      </c>
      <c r="B79" s="13" t="s">
        <v>939</v>
      </c>
      <c r="C79" s="17" t="s">
        <v>9</v>
      </c>
      <c r="D79" s="14">
        <v>150</v>
      </c>
      <c r="E79" s="17">
        <v>25</v>
      </c>
      <c r="F79" s="21">
        <v>43</v>
      </c>
      <c r="G79" s="17" t="s">
        <v>159</v>
      </c>
      <c r="H79" s="21">
        <v>39</v>
      </c>
      <c r="I79" s="17" t="s">
        <v>159</v>
      </c>
      <c r="J79" s="21">
        <v>48</v>
      </c>
      <c r="K79" s="38">
        <f t="shared" si="8"/>
        <v>8.0495999999999998E-2</v>
      </c>
      <c r="L79" s="21">
        <v>10</v>
      </c>
      <c r="M79" s="22">
        <f>8/D79</f>
        <v>5.3333333333333337E-2</v>
      </c>
      <c r="N79" s="17">
        <v>6505003000</v>
      </c>
      <c r="O79" s="17" t="s">
        <v>6</v>
      </c>
      <c r="P79" s="95"/>
      <c r="Q79" s="57"/>
    </row>
    <row r="80" spans="1:17" s="49" customFormat="1" x14ac:dyDescent="0.2">
      <c r="A80" s="136" t="s">
        <v>1044</v>
      </c>
      <c r="B80" s="136" t="s">
        <v>1045</v>
      </c>
      <c r="C80" s="132" t="s">
        <v>9</v>
      </c>
      <c r="D80" s="139">
        <v>150</v>
      </c>
      <c r="E80" s="132">
        <v>25</v>
      </c>
      <c r="F80" s="137">
        <v>55</v>
      </c>
      <c r="G80" s="132" t="s">
        <v>159</v>
      </c>
      <c r="H80" s="137">
        <v>40</v>
      </c>
      <c r="I80" s="132" t="s">
        <v>159</v>
      </c>
      <c r="J80" s="137">
        <v>67</v>
      </c>
      <c r="K80" s="138">
        <f t="shared" si="8"/>
        <v>0.1474</v>
      </c>
      <c r="L80" s="137">
        <v>11</v>
      </c>
      <c r="M80" s="141">
        <v>5.3333333333333337E-2</v>
      </c>
      <c r="N80" s="132">
        <v>6505003000</v>
      </c>
      <c r="O80" s="132" t="s">
        <v>6</v>
      </c>
      <c r="P80" s="140"/>
      <c r="Q80" s="57"/>
    </row>
    <row r="81" spans="1:17" s="49" customFormat="1" x14ac:dyDescent="0.2">
      <c r="A81" s="136" t="s">
        <v>1046</v>
      </c>
      <c r="B81" s="136" t="s">
        <v>1047</v>
      </c>
      <c r="C81" s="132" t="s">
        <v>9</v>
      </c>
      <c r="D81" s="139">
        <v>150</v>
      </c>
      <c r="E81" s="132">
        <v>25</v>
      </c>
      <c r="F81" s="137">
        <v>50</v>
      </c>
      <c r="G81" s="142" t="s">
        <v>159</v>
      </c>
      <c r="H81" s="137">
        <v>40</v>
      </c>
      <c r="I81" s="142" t="s">
        <v>159</v>
      </c>
      <c r="J81" s="137">
        <v>57</v>
      </c>
      <c r="K81" s="138">
        <f t="shared" si="8"/>
        <v>0.11399999999999999</v>
      </c>
      <c r="L81" s="137">
        <v>10</v>
      </c>
      <c r="M81" s="141">
        <v>5.3333333333333337E-2</v>
      </c>
      <c r="N81" s="132">
        <v>6505003000</v>
      </c>
      <c r="O81" s="132" t="s">
        <v>6</v>
      </c>
      <c r="P81" s="140"/>
      <c r="Q81" s="57"/>
    </row>
    <row r="82" spans="1:17" s="49" customFormat="1" x14ac:dyDescent="0.2">
      <c r="A82" s="13" t="s">
        <v>940</v>
      </c>
      <c r="B82" s="13" t="s">
        <v>941</v>
      </c>
      <c r="C82" s="17" t="s">
        <v>9</v>
      </c>
      <c r="D82" s="14">
        <v>150</v>
      </c>
      <c r="E82" s="17">
        <v>25</v>
      </c>
      <c r="F82" s="21">
        <v>50</v>
      </c>
      <c r="G82" s="142" t="s">
        <v>159</v>
      </c>
      <c r="H82" s="21">
        <v>40</v>
      </c>
      <c r="I82" s="17" t="s">
        <v>159</v>
      </c>
      <c r="J82" s="21">
        <v>57</v>
      </c>
      <c r="K82" s="38" t="s">
        <v>796</v>
      </c>
      <c r="L82" s="21">
        <v>12</v>
      </c>
      <c r="M82" s="22">
        <v>6.6666666666666666E-2</v>
      </c>
      <c r="N82" s="17">
        <v>6505003000</v>
      </c>
      <c r="O82" s="17" t="s">
        <v>6</v>
      </c>
      <c r="P82" s="95"/>
      <c r="Q82" s="57"/>
    </row>
    <row r="83" spans="1:17" s="3" customFormat="1" x14ac:dyDescent="0.2">
      <c r="A83" s="19" t="s">
        <v>504</v>
      </c>
      <c r="B83" s="19" t="s">
        <v>610</v>
      </c>
      <c r="C83" s="17" t="s">
        <v>9</v>
      </c>
      <c r="D83" s="17">
        <v>150</v>
      </c>
      <c r="E83" s="17">
        <v>25</v>
      </c>
      <c r="F83" s="17">
        <v>60</v>
      </c>
      <c r="G83" s="142" t="s">
        <v>159</v>
      </c>
      <c r="H83" s="17">
        <v>40</v>
      </c>
      <c r="I83" s="17" t="s">
        <v>159</v>
      </c>
      <c r="J83" s="17">
        <v>40</v>
      </c>
      <c r="K83" s="20">
        <f t="shared" ref="K83:K89" si="9">+F83*H83*J83/1000000</f>
        <v>9.6000000000000002E-2</v>
      </c>
      <c r="L83" s="40">
        <v>13</v>
      </c>
      <c r="M83" s="22">
        <v>7.3333333333333334E-2</v>
      </c>
      <c r="N83" s="17">
        <v>6505009090</v>
      </c>
      <c r="O83" s="17" t="s">
        <v>6</v>
      </c>
      <c r="P83" s="62">
        <v>2.7E-2</v>
      </c>
      <c r="Q83" s="57">
        <v>0.01</v>
      </c>
    </row>
    <row r="84" spans="1:17" s="2" customFormat="1" x14ac:dyDescent="0.2">
      <c r="A84" s="8" t="s">
        <v>306</v>
      </c>
      <c r="B84" s="4" t="s">
        <v>611</v>
      </c>
      <c r="C84" s="9" t="s">
        <v>7</v>
      </c>
      <c r="D84" s="9">
        <v>150</v>
      </c>
      <c r="E84" s="17">
        <v>25</v>
      </c>
      <c r="F84" s="5">
        <v>60</v>
      </c>
      <c r="G84" s="5" t="s">
        <v>159</v>
      </c>
      <c r="H84" s="5">
        <v>40</v>
      </c>
      <c r="I84" s="5" t="s">
        <v>159</v>
      </c>
      <c r="J84" s="5">
        <v>23</v>
      </c>
      <c r="K84" s="12">
        <f t="shared" si="9"/>
        <v>5.5199999999999999E-2</v>
      </c>
      <c r="L84" s="37">
        <v>5.4</v>
      </c>
      <c r="M84" s="73">
        <f>L84/D84</f>
        <v>3.6000000000000004E-2</v>
      </c>
      <c r="N84" s="5">
        <v>6505009090</v>
      </c>
      <c r="O84" s="5" t="s">
        <v>6</v>
      </c>
      <c r="P84" s="62">
        <v>2.7E-2</v>
      </c>
      <c r="Q84" s="57">
        <v>0.01</v>
      </c>
    </row>
    <row r="85" spans="1:17" s="3" customFormat="1" x14ac:dyDescent="0.2">
      <c r="A85" s="8" t="s">
        <v>304</v>
      </c>
      <c r="B85" s="4" t="s">
        <v>612</v>
      </c>
      <c r="C85" s="9" t="s">
        <v>7</v>
      </c>
      <c r="D85" s="9">
        <v>150</v>
      </c>
      <c r="E85" s="17">
        <v>25</v>
      </c>
      <c r="F85" s="5">
        <v>60</v>
      </c>
      <c r="G85" s="5" t="s">
        <v>159</v>
      </c>
      <c r="H85" s="5">
        <v>40</v>
      </c>
      <c r="I85" s="5" t="s">
        <v>159</v>
      </c>
      <c r="J85" s="5">
        <v>40</v>
      </c>
      <c r="K85" s="12">
        <f t="shared" si="9"/>
        <v>9.6000000000000002E-2</v>
      </c>
      <c r="L85" s="37">
        <v>10.4</v>
      </c>
      <c r="M85" s="73">
        <f>L85/D85</f>
        <v>6.933333333333333E-2</v>
      </c>
      <c r="N85" s="5">
        <v>6505009090</v>
      </c>
      <c r="O85" s="17" t="s">
        <v>6</v>
      </c>
      <c r="P85" s="62">
        <v>2.7E-2</v>
      </c>
      <c r="Q85" s="57">
        <v>0.01</v>
      </c>
    </row>
    <row r="86" spans="1:17" s="3" customFormat="1" ht="39" x14ac:dyDescent="0.2">
      <c r="A86" s="8" t="s">
        <v>305</v>
      </c>
      <c r="B86" s="8" t="s">
        <v>529</v>
      </c>
      <c r="C86" s="5" t="s">
        <v>49</v>
      </c>
      <c r="D86" s="9">
        <v>150</v>
      </c>
      <c r="E86" s="17">
        <v>25</v>
      </c>
      <c r="F86" s="9">
        <v>60</v>
      </c>
      <c r="G86" s="5" t="s">
        <v>159</v>
      </c>
      <c r="H86" s="9">
        <v>40</v>
      </c>
      <c r="I86" s="5" t="s">
        <v>159</v>
      </c>
      <c r="J86" s="9">
        <v>39</v>
      </c>
      <c r="K86" s="12">
        <f t="shared" si="9"/>
        <v>9.3600000000000003E-2</v>
      </c>
      <c r="L86" s="39">
        <v>8.6999999999999993</v>
      </c>
      <c r="M86" s="73">
        <v>0.6</v>
      </c>
      <c r="N86" s="5">
        <v>6505009090</v>
      </c>
      <c r="O86" s="5" t="s">
        <v>6</v>
      </c>
      <c r="P86" s="62">
        <v>2.7E-2</v>
      </c>
      <c r="Q86" s="57">
        <v>0.01</v>
      </c>
    </row>
    <row r="87" spans="1:17" s="3" customFormat="1" x14ac:dyDescent="0.2">
      <c r="A87" s="8" t="s">
        <v>847</v>
      </c>
      <c r="B87" s="8" t="s">
        <v>848</v>
      </c>
      <c r="C87" s="5" t="s">
        <v>9</v>
      </c>
      <c r="D87" s="9">
        <v>100</v>
      </c>
      <c r="E87" s="17">
        <v>50</v>
      </c>
      <c r="F87" s="14">
        <v>60</v>
      </c>
      <c r="G87" s="17" t="s">
        <v>159</v>
      </c>
      <c r="H87" s="14">
        <v>40</v>
      </c>
      <c r="I87" s="17" t="s">
        <v>159</v>
      </c>
      <c r="J87" s="14">
        <v>35</v>
      </c>
      <c r="K87" s="20">
        <f t="shared" si="9"/>
        <v>8.4000000000000005E-2</v>
      </c>
      <c r="L87" s="80">
        <v>10</v>
      </c>
      <c r="M87" s="73">
        <v>0.6</v>
      </c>
      <c r="N87" s="5">
        <v>6505009090</v>
      </c>
      <c r="O87" s="5" t="s">
        <v>6</v>
      </c>
      <c r="P87" s="83">
        <v>2.7E-2</v>
      </c>
      <c r="Q87" s="57">
        <v>0.01</v>
      </c>
    </row>
    <row r="88" spans="1:17" x14ac:dyDescent="0.2">
      <c r="A88" s="8" t="s">
        <v>849</v>
      </c>
      <c r="B88" s="8" t="s">
        <v>888</v>
      </c>
      <c r="C88" s="9" t="s">
        <v>9</v>
      </c>
      <c r="D88" s="9">
        <v>100</v>
      </c>
      <c r="E88" s="9">
        <v>50</v>
      </c>
      <c r="F88" s="10">
        <v>60</v>
      </c>
      <c r="G88" s="9" t="s">
        <v>159</v>
      </c>
      <c r="H88" s="10">
        <v>40</v>
      </c>
      <c r="I88" s="9" t="s">
        <v>159</v>
      </c>
      <c r="J88" s="10">
        <v>58</v>
      </c>
      <c r="K88" s="10">
        <f t="shared" si="9"/>
        <v>0.13919999999999999</v>
      </c>
      <c r="L88" s="10">
        <v>14</v>
      </c>
      <c r="M88" s="73">
        <v>0.6</v>
      </c>
      <c r="N88" s="9">
        <v>6505009090</v>
      </c>
      <c r="O88" s="9" t="s">
        <v>6</v>
      </c>
    </row>
    <row r="89" spans="1:17" s="3" customFormat="1" x14ac:dyDescent="0.2">
      <c r="A89" s="8" t="s">
        <v>851</v>
      </c>
      <c r="B89" s="8" t="s">
        <v>852</v>
      </c>
      <c r="C89" s="5" t="s">
        <v>9</v>
      </c>
      <c r="D89" s="9">
        <v>100</v>
      </c>
      <c r="E89" s="17">
        <v>50</v>
      </c>
      <c r="F89" s="14">
        <v>60</v>
      </c>
      <c r="G89" s="17" t="s">
        <v>159</v>
      </c>
      <c r="H89" s="14">
        <v>40</v>
      </c>
      <c r="I89" s="17" t="s">
        <v>159</v>
      </c>
      <c r="J89" s="14">
        <v>40</v>
      </c>
      <c r="K89" s="20">
        <f t="shared" si="9"/>
        <v>9.6000000000000002E-2</v>
      </c>
      <c r="L89" s="80">
        <v>14</v>
      </c>
      <c r="M89" s="73">
        <v>0.6</v>
      </c>
      <c r="N89" s="5">
        <v>6505009090</v>
      </c>
      <c r="O89" s="5" t="s">
        <v>6</v>
      </c>
      <c r="P89" s="83">
        <v>2.7E-2</v>
      </c>
      <c r="Q89" s="57">
        <v>0.01</v>
      </c>
    </row>
    <row r="90" spans="1:17" x14ac:dyDescent="0.2">
      <c r="A90" s="177" t="s">
        <v>1064</v>
      </c>
      <c r="B90" s="177" t="s">
        <v>1084</v>
      </c>
      <c r="C90" s="178" t="s">
        <v>9</v>
      </c>
      <c r="D90" s="178">
        <v>150</v>
      </c>
      <c r="E90" s="178">
        <v>25</v>
      </c>
      <c r="F90" s="168" t="s">
        <v>796</v>
      </c>
      <c r="G90" s="167" t="s">
        <v>159</v>
      </c>
      <c r="H90" s="168" t="s">
        <v>796</v>
      </c>
      <c r="I90" s="167" t="s">
        <v>159</v>
      </c>
      <c r="J90" s="168" t="s">
        <v>796</v>
      </c>
      <c r="K90" s="168" t="s">
        <v>796</v>
      </c>
      <c r="L90" s="168" t="s">
        <v>796</v>
      </c>
      <c r="M90" s="169" t="s">
        <v>796</v>
      </c>
      <c r="N90" s="174">
        <v>6505009090</v>
      </c>
      <c r="O90" s="174" t="s">
        <v>6</v>
      </c>
    </row>
    <row r="91" spans="1:17" x14ac:dyDescent="0.2">
      <c r="A91" s="177" t="s">
        <v>1065</v>
      </c>
      <c r="B91" s="177" t="s">
        <v>1085</v>
      </c>
      <c r="C91" s="178" t="s">
        <v>9</v>
      </c>
      <c r="D91" s="178">
        <v>150</v>
      </c>
      <c r="E91" s="178">
        <v>25</v>
      </c>
      <c r="F91" s="168" t="s">
        <v>796</v>
      </c>
      <c r="G91" s="167" t="s">
        <v>159</v>
      </c>
      <c r="H91" s="168" t="s">
        <v>796</v>
      </c>
      <c r="I91" s="167" t="s">
        <v>159</v>
      </c>
      <c r="J91" s="168" t="s">
        <v>796</v>
      </c>
      <c r="K91" s="168" t="s">
        <v>796</v>
      </c>
      <c r="L91" s="168" t="s">
        <v>796</v>
      </c>
      <c r="M91" s="169" t="s">
        <v>796</v>
      </c>
      <c r="N91" s="174">
        <v>6505009090</v>
      </c>
      <c r="O91" s="174" t="s">
        <v>6</v>
      </c>
    </row>
    <row r="92" spans="1:17" x14ac:dyDescent="0.2">
      <c r="A92" s="177" t="s">
        <v>1066</v>
      </c>
      <c r="B92" s="177" t="s">
        <v>1086</v>
      </c>
      <c r="C92" s="178" t="s">
        <v>9</v>
      </c>
      <c r="D92" s="178">
        <v>150</v>
      </c>
      <c r="E92" s="178">
        <v>25</v>
      </c>
      <c r="F92" s="168" t="s">
        <v>796</v>
      </c>
      <c r="G92" s="167" t="s">
        <v>159</v>
      </c>
      <c r="H92" s="168" t="s">
        <v>796</v>
      </c>
      <c r="I92" s="167" t="s">
        <v>159</v>
      </c>
      <c r="J92" s="168" t="s">
        <v>796</v>
      </c>
      <c r="K92" s="168" t="s">
        <v>796</v>
      </c>
      <c r="L92" s="168" t="s">
        <v>796</v>
      </c>
      <c r="M92" s="169" t="s">
        <v>796</v>
      </c>
      <c r="N92" s="174">
        <v>6505009090</v>
      </c>
      <c r="O92" s="174" t="s">
        <v>6</v>
      </c>
    </row>
    <row r="93" spans="1:17" x14ac:dyDescent="0.2">
      <c r="A93" s="177" t="s">
        <v>1067</v>
      </c>
      <c r="B93" s="177" t="s">
        <v>1087</v>
      </c>
      <c r="C93" s="178" t="s">
        <v>9</v>
      </c>
      <c r="D93" s="178">
        <v>150</v>
      </c>
      <c r="E93" s="178">
        <v>25</v>
      </c>
      <c r="F93" s="168" t="s">
        <v>796</v>
      </c>
      <c r="G93" s="167" t="s">
        <v>159</v>
      </c>
      <c r="H93" s="168" t="s">
        <v>796</v>
      </c>
      <c r="I93" s="167" t="s">
        <v>159</v>
      </c>
      <c r="J93" s="168" t="s">
        <v>796</v>
      </c>
      <c r="K93" s="168" t="s">
        <v>796</v>
      </c>
      <c r="L93" s="168" t="s">
        <v>796</v>
      </c>
      <c r="M93" s="169" t="s">
        <v>796</v>
      </c>
      <c r="N93" s="174">
        <v>6505009090</v>
      </c>
      <c r="O93" s="174" t="s">
        <v>6</v>
      </c>
    </row>
    <row r="94" spans="1:17" x14ac:dyDescent="0.2">
      <c r="A94" s="177" t="s">
        <v>1068</v>
      </c>
      <c r="B94" s="177" t="s">
        <v>1088</v>
      </c>
      <c r="C94" s="178" t="s">
        <v>9</v>
      </c>
      <c r="D94" s="178">
        <v>150</v>
      </c>
      <c r="E94" s="178">
        <v>25</v>
      </c>
      <c r="F94" s="168" t="s">
        <v>796</v>
      </c>
      <c r="G94" s="167" t="s">
        <v>159</v>
      </c>
      <c r="H94" s="168" t="s">
        <v>796</v>
      </c>
      <c r="I94" s="167" t="s">
        <v>159</v>
      </c>
      <c r="J94" s="168" t="s">
        <v>796</v>
      </c>
      <c r="K94" s="168" t="s">
        <v>796</v>
      </c>
      <c r="L94" s="168" t="s">
        <v>796</v>
      </c>
      <c r="M94" s="169" t="s">
        <v>796</v>
      </c>
      <c r="N94" s="174">
        <v>6505009090</v>
      </c>
      <c r="O94" s="174" t="s">
        <v>6</v>
      </c>
    </row>
  </sheetData>
  <mergeCells count="27">
    <mergeCell ref="A1:A2"/>
    <mergeCell ref="B1:B2"/>
    <mergeCell ref="D1:D2"/>
    <mergeCell ref="E1:E2"/>
    <mergeCell ref="K1:K2"/>
    <mergeCell ref="L1:L2"/>
    <mergeCell ref="C1:C2"/>
    <mergeCell ref="N65:N67"/>
    <mergeCell ref="O1:O2"/>
    <mergeCell ref="F1:J1"/>
    <mergeCell ref="G65:G67"/>
    <mergeCell ref="M1:M2"/>
    <mergeCell ref="H65:H67"/>
    <mergeCell ref="I65:I67"/>
    <mergeCell ref="J65:J67"/>
    <mergeCell ref="K65:K67"/>
    <mergeCell ref="M65:M67"/>
    <mergeCell ref="A65:A67"/>
    <mergeCell ref="B65:B67"/>
    <mergeCell ref="D65:D67"/>
    <mergeCell ref="E65:E67"/>
    <mergeCell ref="F65:F67"/>
    <mergeCell ref="P1:P2"/>
    <mergeCell ref="P65:P67"/>
    <mergeCell ref="Q1:Q2"/>
    <mergeCell ref="N1:N2"/>
    <mergeCell ref="O65:O67"/>
  </mergeCells>
  <phoneticPr fontId="0" type="noConversion"/>
  <pageMargins left="0.27559055118110237" right="0.15748031496062992" top="0.43307086614173229" bottom="0.43307086614173229" header="0.23622047244094491" footer="0.23622047244094491"/>
  <pageSetup scale="68" orientation="landscape" r:id="rId1"/>
  <headerFooter alignWithMargins="0">
    <oddHeader>&amp;CRESULT HEADWEAR</oddHeader>
    <oddFooter xml:space="preserve">&amp;C&amp;P&amp;R&amp;D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U111"/>
  <sheetViews>
    <sheetView zoomScale="75" zoomScaleNormal="75" workbookViewId="0">
      <pane xSplit="1" ySplit="2" topLeftCell="B78" activePane="bottomRight" state="frozen"/>
      <selection pane="topRight" activeCell="B1" sqref="B1"/>
      <selection pane="bottomLeft" activeCell="A3" sqref="A3"/>
      <selection pane="bottomRight" activeCell="A82" sqref="A82:XFD82"/>
    </sheetView>
  </sheetViews>
  <sheetFormatPr defaultRowHeight="19.5" x14ac:dyDescent="0.2"/>
  <cols>
    <col min="1" max="1" width="11" style="3" customWidth="1"/>
    <col min="2" max="2" width="59.42578125" style="3" customWidth="1"/>
    <col min="3" max="3" width="12.7109375" style="24" customWidth="1"/>
    <col min="4" max="4" width="7.7109375" style="24" customWidth="1"/>
    <col min="5" max="5" width="4.85546875" style="24" customWidth="1"/>
    <col min="6" max="6" width="2.7109375" style="24" customWidth="1"/>
    <col min="7" max="7" width="4.85546875" style="24" customWidth="1"/>
    <col min="8" max="8" width="3.28515625" style="24" customWidth="1"/>
    <col min="9" max="9" width="4.85546875" style="24" customWidth="1"/>
    <col min="10" max="10" width="10.7109375" style="25" customWidth="1"/>
    <col min="11" max="11" width="11.28515625" style="79" customWidth="1"/>
    <col min="12" max="12" width="15.5703125" style="25" customWidth="1"/>
    <col min="13" max="13" width="15.85546875" style="24" customWidth="1"/>
    <col min="14" max="14" width="12.85546875" style="24" customWidth="1"/>
    <col min="15" max="15" width="6.5703125" style="66" hidden="1" customWidth="1"/>
    <col min="16" max="16" width="16.42578125" style="69" hidden="1" customWidth="1"/>
    <col min="17" max="255" width="9.140625" style="3" customWidth="1"/>
  </cols>
  <sheetData>
    <row r="1" spans="1:255" ht="58.5" customHeight="1" x14ac:dyDescent="0.2">
      <c r="A1" s="251" t="s">
        <v>0</v>
      </c>
      <c r="B1" s="257" t="s">
        <v>1</v>
      </c>
      <c r="C1" s="253" t="s">
        <v>81</v>
      </c>
      <c r="D1" s="251" t="s">
        <v>2</v>
      </c>
      <c r="E1" s="222" t="s">
        <v>523</v>
      </c>
      <c r="F1" s="222"/>
      <c r="G1" s="222"/>
      <c r="H1" s="222"/>
      <c r="I1" s="222"/>
      <c r="J1" s="255" t="s">
        <v>82</v>
      </c>
      <c r="K1" s="259" t="s">
        <v>522</v>
      </c>
      <c r="L1" s="255" t="s">
        <v>560</v>
      </c>
      <c r="M1" s="251" t="s">
        <v>3</v>
      </c>
      <c r="N1" s="251" t="s">
        <v>4</v>
      </c>
      <c r="O1" s="229" t="s">
        <v>824</v>
      </c>
      <c r="P1" s="207" t="s">
        <v>825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4.75" customHeight="1" x14ac:dyDescent="0.2">
      <c r="A2" s="252"/>
      <c r="B2" s="258"/>
      <c r="C2" s="254"/>
      <c r="D2" s="252"/>
      <c r="E2" s="41" t="s">
        <v>155</v>
      </c>
      <c r="F2" s="41"/>
      <c r="G2" s="41" t="s">
        <v>157</v>
      </c>
      <c r="H2" s="41"/>
      <c r="I2" s="41" t="s">
        <v>156</v>
      </c>
      <c r="J2" s="256"/>
      <c r="K2" s="260"/>
      <c r="L2" s="256"/>
      <c r="M2" s="252"/>
      <c r="N2" s="252"/>
      <c r="O2" s="229"/>
      <c r="P2" s="20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9" t="s">
        <v>136</v>
      </c>
      <c r="B3" s="19" t="s">
        <v>343</v>
      </c>
      <c r="C3" s="17" t="s">
        <v>29</v>
      </c>
      <c r="D3" s="17">
        <v>10</v>
      </c>
      <c r="E3" s="17">
        <v>60</v>
      </c>
      <c r="F3" s="17" t="s">
        <v>159</v>
      </c>
      <c r="G3" s="17">
        <v>40</v>
      </c>
      <c r="H3" s="17" t="s">
        <v>159</v>
      </c>
      <c r="I3" s="17">
        <v>15</v>
      </c>
      <c r="J3" s="20">
        <f>(E3*G3*I3)*0.000001</f>
        <v>3.5999999999999997E-2</v>
      </c>
      <c r="K3" s="40">
        <v>8</v>
      </c>
      <c r="L3" s="20">
        <v>0.7</v>
      </c>
      <c r="M3" s="17">
        <v>6210400000</v>
      </c>
      <c r="N3" s="17" t="s">
        <v>6</v>
      </c>
      <c r="O3" s="65">
        <v>0.12</v>
      </c>
      <c r="P3" s="67">
        <v>0.03</v>
      </c>
    </row>
    <row r="4" spans="1:255" x14ac:dyDescent="0.2">
      <c r="A4" s="19" t="s">
        <v>135</v>
      </c>
      <c r="B4" s="19" t="s">
        <v>344</v>
      </c>
      <c r="C4" s="17" t="s">
        <v>8</v>
      </c>
      <c r="D4" s="17">
        <v>10</v>
      </c>
      <c r="E4" s="17">
        <v>60</v>
      </c>
      <c r="F4" s="17" t="s">
        <v>159</v>
      </c>
      <c r="G4" s="17">
        <v>40</v>
      </c>
      <c r="H4" s="17" t="s">
        <v>159</v>
      </c>
      <c r="I4" s="17">
        <v>15</v>
      </c>
      <c r="J4" s="20">
        <f>(E4*G4*I4)*0.000001</f>
        <v>3.5999999999999997E-2</v>
      </c>
      <c r="K4" s="40">
        <v>8</v>
      </c>
      <c r="L4" s="20">
        <v>0.7</v>
      </c>
      <c r="M4" s="17">
        <v>6210500000</v>
      </c>
      <c r="N4" s="17" t="s">
        <v>6</v>
      </c>
      <c r="O4" s="65">
        <v>0.12</v>
      </c>
      <c r="P4" s="67">
        <v>0.03</v>
      </c>
    </row>
    <row r="5" spans="1:255" x14ac:dyDescent="0.2">
      <c r="A5" s="19" t="s">
        <v>138</v>
      </c>
      <c r="B5" s="19" t="s">
        <v>352</v>
      </c>
      <c r="C5" s="17" t="s">
        <v>47</v>
      </c>
      <c r="D5" s="17">
        <v>10</v>
      </c>
      <c r="E5" s="17">
        <v>60</v>
      </c>
      <c r="F5" s="17" t="s">
        <v>159</v>
      </c>
      <c r="G5" s="17">
        <v>40</v>
      </c>
      <c r="H5" s="17" t="s">
        <v>159</v>
      </c>
      <c r="I5" s="17">
        <v>25</v>
      </c>
      <c r="J5" s="20">
        <f>(E5*G5*I5)*0.000001</f>
        <v>0.06</v>
      </c>
      <c r="K5" s="40">
        <v>7</v>
      </c>
      <c r="L5" s="20">
        <v>0.6</v>
      </c>
      <c r="M5" s="17">
        <v>6110309100</v>
      </c>
      <c r="N5" s="17" t="s">
        <v>6</v>
      </c>
      <c r="O5" s="65">
        <v>0.12</v>
      </c>
      <c r="P5" s="67">
        <v>0.03</v>
      </c>
    </row>
    <row r="6" spans="1:255" x14ac:dyDescent="0.2">
      <c r="A6" s="19" t="s">
        <v>137</v>
      </c>
      <c r="B6" s="19" t="s">
        <v>345</v>
      </c>
      <c r="C6" s="17" t="s">
        <v>8</v>
      </c>
      <c r="D6" s="17">
        <v>10</v>
      </c>
      <c r="E6" s="17">
        <v>60</v>
      </c>
      <c r="F6" s="17" t="s">
        <v>159</v>
      </c>
      <c r="G6" s="17">
        <v>40</v>
      </c>
      <c r="H6" s="17" t="s">
        <v>159</v>
      </c>
      <c r="I6" s="17">
        <v>20</v>
      </c>
      <c r="J6" s="20">
        <f t="shared" ref="J6:J56" si="0">(E6*G6*I6)*0.000001</f>
        <v>4.8000000000000001E-2</v>
      </c>
      <c r="K6" s="40">
        <v>7</v>
      </c>
      <c r="L6" s="20">
        <v>0.6</v>
      </c>
      <c r="M6" s="17">
        <v>6110309900</v>
      </c>
      <c r="N6" s="17" t="s">
        <v>6</v>
      </c>
      <c r="O6" s="65">
        <v>0.12</v>
      </c>
      <c r="P6" s="67">
        <v>0.03</v>
      </c>
    </row>
    <row r="7" spans="1:255" x14ac:dyDescent="0.2">
      <c r="A7" s="19" t="s">
        <v>140</v>
      </c>
      <c r="B7" s="19" t="s">
        <v>353</v>
      </c>
      <c r="C7" s="17" t="s">
        <v>86</v>
      </c>
      <c r="D7" s="17">
        <v>10</v>
      </c>
      <c r="E7" s="17">
        <v>60</v>
      </c>
      <c r="F7" s="17" t="s">
        <v>159</v>
      </c>
      <c r="G7" s="17">
        <v>40</v>
      </c>
      <c r="H7" s="17" t="s">
        <v>159</v>
      </c>
      <c r="I7" s="17">
        <v>25</v>
      </c>
      <c r="J7" s="20">
        <f>(E7*G7*I7)*0.000001</f>
        <v>0.06</v>
      </c>
      <c r="K7" s="40">
        <v>4</v>
      </c>
      <c r="L7" s="20">
        <v>0.3</v>
      </c>
      <c r="M7" s="17">
        <v>6103430000</v>
      </c>
      <c r="N7" s="17" t="s">
        <v>6</v>
      </c>
      <c r="O7" s="65">
        <v>0.12</v>
      </c>
      <c r="P7" s="67">
        <v>0.03</v>
      </c>
    </row>
    <row r="8" spans="1:255" x14ac:dyDescent="0.2">
      <c r="A8" s="19" t="s">
        <v>139</v>
      </c>
      <c r="B8" s="19" t="s">
        <v>346</v>
      </c>
      <c r="C8" s="17" t="s">
        <v>86</v>
      </c>
      <c r="D8" s="17">
        <v>10</v>
      </c>
      <c r="E8" s="17">
        <v>60</v>
      </c>
      <c r="F8" s="17" t="s">
        <v>159</v>
      </c>
      <c r="G8" s="17">
        <v>40</v>
      </c>
      <c r="H8" s="17" t="s">
        <v>159</v>
      </c>
      <c r="I8" s="17">
        <v>10</v>
      </c>
      <c r="J8" s="20">
        <f t="shared" si="0"/>
        <v>2.4E-2</v>
      </c>
      <c r="K8" s="40">
        <v>4</v>
      </c>
      <c r="L8" s="20">
        <v>0.3</v>
      </c>
      <c r="M8" s="17">
        <v>6104630000</v>
      </c>
      <c r="N8" s="17" t="s">
        <v>6</v>
      </c>
      <c r="O8" s="65">
        <v>0.12</v>
      </c>
      <c r="P8" s="67">
        <v>0.03</v>
      </c>
    </row>
    <row r="9" spans="1:255" x14ac:dyDescent="0.2">
      <c r="A9" s="19" t="s">
        <v>142</v>
      </c>
      <c r="B9" s="19" t="s">
        <v>354</v>
      </c>
      <c r="C9" s="17" t="s">
        <v>47</v>
      </c>
      <c r="D9" s="17">
        <v>10</v>
      </c>
      <c r="E9" s="17">
        <v>60</v>
      </c>
      <c r="F9" s="17" t="s">
        <v>159</v>
      </c>
      <c r="G9" s="17">
        <v>40</v>
      </c>
      <c r="H9" s="17" t="s">
        <v>159</v>
      </c>
      <c r="I9" s="17">
        <v>20</v>
      </c>
      <c r="J9" s="20">
        <f>(E9*G9*I9)*0.000001</f>
        <v>4.8000000000000001E-2</v>
      </c>
      <c r="K9" s="40">
        <v>7</v>
      </c>
      <c r="L9" s="20">
        <v>0.6</v>
      </c>
      <c r="M9" s="17">
        <v>6201930000</v>
      </c>
      <c r="N9" s="17" t="s">
        <v>6</v>
      </c>
      <c r="O9" s="65">
        <v>0.12</v>
      </c>
      <c r="P9" s="67">
        <v>0.03</v>
      </c>
    </row>
    <row r="10" spans="1:255" x14ac:dyDescent="0.2">
      <c r="A10" s="19" t="s">
        <v>141</v>
      </c>
      <c r="B10" s="19" t="s">
        <v>347</v>
      </c>
      <c r="C10" s="17" t="s">
        <v>86</v>
      </c>
      <c r="D10" s="17">
        <v>10</v>
      </c>
      <c r="E10" s="17">
        <v>60</v>
      </c>
      <c r="F10" s="17" t="s">
        <v>159</v>
      </c>
      <c r="G10" s="17">
        <v>40</v>
      </c>
      <c r="H10" s="17" t="s">
        <v>159</v>
      </c>
      <c r="I10" s="17">
        <v>10</v>
      </c>
      <c r="J10" s="20">
        <f t="shared" si="0"/>
        <v>2.4E-2</v>
      </c>
      <c r="K10" s="40">
        <v>7</v>
      </c>
      <c r="L10" s="20">
        <v>0.6</v>
      </c>
      <c r="M10" s="17">
        <v>6202930000</v>
      </c>
      <c r="N10" s="17" t="s">
        <v>6</v>
      </c>
      <c r="O10" s="65">
        <v>0.12</v>
      </c>
      <c r="P10" s="67">
        <v>0.03</v>
      </c>
    </row>
    <row r="11" spans="1:255" x14ac:dyDescent="0.2">
      <c r="A11" s="19" t="s">
        <v>144</v>
      </c>
      <c r="B11" s="19" t="s">
        <v>355</v>
      </c>
      <c r="C11" s="17" t="s">
        <v>29</v>
      </c>
      <c r="D11" s="17">
        <v>10</v>
      </c>
      <c r="E11" s="17">
        <v>60</v>
      </c>
      <c r="F11" s="17" t="s">
        <v>159</v>
      </c>
      <c r="G11" s="17">
        <v>40</v>
      </c>
      <c r="H11" s="17" t="s">
        <v>159</v>
      </c>
      <c r="I11" s="17">
        <v>20</v>
      </c>
      <c r="J11" s="20">
        <f>(E11*G11*I11)*0.000001</f>
        <v>4.8000000000000001E-2</v>
      </c>
      <c r="K11" s="40">
        <v>10.5</v>
      </c>
      <c r="L11" s="20">
        <v>0.95</v>
      </c>
      <c r="M11" s="17">
        <v>6210400000</v>
      </c>
      <c r="N11" s="17" t="s">
        <v>6</v>
      </c>
      <c r="O11" s="65">
        <v>0.12</v>
      </c>
      <c r="P11" s="67">
        <v>0.03</v>
      </c>
    </row>
    <row r="12" spans="1:255" x14ac:dyDescent="0.2">
      <c r="A12" s="19" t="s">
        <v>143</v>
      </c>
      <c r="B12" s="19" t="s">
        <v>348</v>
      </c>
      <c r="C12" s="17" t="s">
        <v>8</v>
      </c>
      <c r="D12" s="17">
        <v>10</v>
      </c>
      <c r="E12" s="17">
        <v>60</v>
      </c>
      <c r="F12" s="17" t="s">
        <v>159</v>
      </c>
      <c r="G12" s="17">
        <v>40</v>
      </c>
      <c r="H12" s="17" t="s">
        <v>159</v>
      </c>
      <c r="I12" s="17">
        <v>20</v>
      </c>
      <c r="J12" s="20">
        <f t="shared" si="0"/>
        <v>4.8000000000000001E-2</v>
      </c>
      <c r="K12" s="40">
        <v>10.5</v>
      </c>
      <c r="L12" s="20">
        <v>0.95</v>
      </c>
      <c r="M12" s="17">
        <v>6210500000</v>
      </c>
      <c r="N12" s="17" t="s">
        <v>6</v>
      </c>
      <c r="O12" s="65">
        <v>0.12</v>
      </c>
      <c r="P12" s="67">
        <v>0.03</v>
      </c>
    </row>
    <row r="13" spans="1:255" x14ac:dyDescent="0.2">
      <c r="A13" s="19" t="s">
        <v>146</v>
      </c>
      <c r="B13" s="19" t="s">
        <v>360</v>
      </c>
      <c r="C13" s="17" t="s">
        <v>86</v>
      </c>
      <c r="D13" s="17">
        <v>20</v>
      </c>
      <c r="E13" s="17">
        <v>60</v>
      </c>
      <c r="F13" s="17" t="s">
        <v>159</v>
      </c>
      <c r="G13" s="17">
        <v>40</v>
      </c>
      <c r="H13" s="17" t="s">
        <v>159</v>
      </c>
      <c r="I13" s="17">
        <v>20</v>
      </c>
      <c r="J13" s="20">
        <f>(E13*G13*I13)*0.000001</f>
        <v>4.8000000000000001E-2</v>
      </c>
      <c r="K13" s="40">
        <v>6</v>
      </c>
      <c r="L13" s="20">
        <v>0.2</v>
      </c>
      <c r="M13" s="17">
        <v>6103430000</v>
      </c>
      <c r="N13" s="17" t="s">
        <v>6</v>
      </c>
      <c r="O13" s="65">
        <v>0.12</v>
      </c>
      <c r="P13" s="67">
        <v>0.03</v>
      </c>
    </row>
    <row r="14" spans="1:255" x14ac:dyDescent="0.2">
      <c r="A14" s="19" t="s">
        <v>145</v>
      </c>
      <c r="B14" s="19" t="s">
        <v>359</v>
      </c>
      <c r="C14" s="17" t="s">
        <v>86</v>
      </c>
      <c r="D14" s="17">
        <v>20</v>
      </c>
      <c r="E14" s="17">
        <v>60</v>
      </c>
      <c r="F14" s="17" t="s">
        <v>159</v>
      </c>
      <c r="G14" s="17">
        <v>40</v>
      </c>
      <c r="H14" s="17" t="s">
        <v>159</v>
      </c>
      <c r="I14" s="17">
        <v>20</v>
      </c>
      <c r="J14" s="20">
        <f t="shared" si="0"/>
        <v>4.8000000000000001E-2</v>
      </c>
      <c r="K14" s="40">
        <v>6</v>
      </c>
      <c r="L14" s="20">
        <v>0.2</v>
      </c>
      <c r="M14" s="17">
        <v>6204630000</v>
      </c>
      <c r="N14" s="17" t="s">
        <v>6</v>
      </c>
      <c r="O14" s="65">
        <v>0.12</v>
      </c>
      <c r="P14" s="67">
        <v>0.03</v>
      </c>
    </row>
    <row r="15" spans="1:255" x14ac:dyDescent="0.2">
      <c r="A15" s="19" t="s">
        <v>147</v>
      </c>
      <c r="B15" s="19" t="s">
        <v>362</v>
      </c>
      <c r="C15" s="17" t="s">
        <v>47</v>
      </c>
      <c r="D15" s="17">
        <v>10</v>
      </c>
      <c r="E15" s="17">
        <v>60</v>
      </c>
      <c r="F15" s="17" t="s">
        <v>159</v>
      </c>
      <c r="G15" s="17">
        <v>40</v>
      </c>
      <c r="H15" s="17" t="s">
        <v>159</v>
      </c>
      <c r="I15" s="17">
        <v>16</v>
      </c>
      <c r="J15" s="20">
        <f t="shared" ref="J15:J20" si="1">(E15*G15*I15)*0.000001</f>
        <v>3.8399999999999997E-2</v>
      </c>
      <c r="K15" s="40">
        <v>7.8</v>
      </c>
      <c r="L15" s="22">
        <v>0.68</v>
      </c>
      <c r="M15" s="17">
        <v>6201930000</v>
      </c>
      <c r="N15" s="17" t="s">
        <v>6</v>
      </c>
      <c r="O15" s="65">
        <v>0.12</v>
      </c>
      <c r="P15" s="67">
        <v>0.03</v>
      </c>
    </row>
    <row r="16" spans="1:255" x14ac:dyDescent="0.2">
      <c r="A16" s="19" t="s">
        <v>148</v>
      </c>
      <c r="B16" s="19" t="s">
        <v>361</v>
      </c>
      <c r="C16" s="17" t="s">
        <v>8</v>
      </c>
      <c r="D16" s="17">
        <v>10</v>
      </c>
      <c r="E16" s="17">
        <v>60</v>
      </c>
      <c r="F16" s="17" t="s">
        <v>159</v>
      </c>
      <c r="G16" s="17">
        <v>40</v>
      </c>
      <c r="H16" s="17" t="s">
        <v>159</v>
      </c>
      <c r="I16" s="17">
        <v>16</v>
      </c>
      <c r="J16" s="20">
        <f t="shared" si="1"/>
        <v>3.8399999999999997E-2</v>
      </c>
      <c r="K16" s="40">
        <v>7.5</v>
      </c>
      <c r="L16" s="22">
        <v>0.55000000000000004</v>
      </c>
      <c r="M16" s="17">
        <v>6202930000</v>
      </c>
      <c r="N16" s="17" t="s">
        <v>6</v>
      </c>
      <c r="O16" s="65">
        <v>0.12</v>
      </c>
      <c r="P16" s="67">
        <v>0.03</v>
      </c>
    </row>
    <row r="17" spans="1:255" x14ac:dyDescent="0.2">
      <c r="A17" s="19" t="s">
        <v>149</v>
      </c>
      <c r="B17" s="19" t="s">
        <v>356</v>
      </c>
      <c r="C17" s="17" t="s">
        <v>47</v>
      </c>
      <c r="D17" s="17">
        <v>20</v>
      </c>
      <c r="E17" s="17">
        <v>40</v>
      </c>
      <c r="F17" s="17" t="s">
        <v>159</v>
      </c>
      <c r="G17" s="17">
        <v>30</v>
      </c>
      <c r="H17" s="17" t="s">
        <v>159</v>
      </c>
      <c r="I17" s="17">
        <v>25</v>
      </c>
      <c r="J17" s="20">
        <f t="shared" si="1"/>
        <v>0.03</v>
      </c>
      <c r="K17" s="40">
        <v>7.5</v>
      </c>
      <c r="L17" s="22">
        <v>0.2</v>
      </c>
      <c r="M17" s="17">
        <v>6109909000</v>
      </c>
      <c r="N17" s="17" t="s">
        <v>6</v>
      </c>
      <c r="O17" s="65">
        <v>0.12</v>
      </c>
      <c r="P17" s="67">
        <v>0.03</v>
      </c>
    </row>
    <row r="18" spans="1:255" x14ac:dyDescent="0.2">
      <c r="A18" s="19" t="s">
        <v>150</v>
      </c>
      <c r="B18" s="19" t="s">
        <v>349</v>
      </c>
      <c r="C18" s="17" t="s">
        <v>8</v>
      </c>
      <c r="D18" s="17">
        <v>20</v>
      </c>
      <c r="E18" s="17">
        <v>40</v>
      </c>
      <c r="F18" s="17" t="s">
        <v>159</v>
      </c>
      <c r="G18" s="17">
        <v>30</v>
      </c>
      <c r="H18" s="17" t="s">
        <v>159</v>
      </c>
      <c r="I18" s="17">
        <v>20</v>
      </c>
      <c r="J18" s="20">
        <f t="shared" si="1"/>
        <v>2.4E-2</v>
      </c>
      <c r="K18" s="40">
        <v>4</v>
      </c>
      <c r="L18" s="22">
        <v>0.15</v>
      </c>
      <c r="M18" s="17">
        <v>6109909000</v>
      </c>
      <c r="N18" s="17" t="s">
        <v>6</v>
      </c>
      <c r="O18" s="65">
        <v>0.12</v>
      </c>
      <c r="P18" s="67">
        <v>0.03</v>
      </c>
    </row>
    <row r="19" spans="1:255" x14ac:dyDescent="0.2">
      <c r="A19" s="19" t="s">
        <v>151</v>
      </c>
      <c r="B19" s="19" t="s">
        <v>357</v>
      </c>
      <c r="C19" s="17" t="s">
        <v>28</v>
      </c>
      <c r="D19" s="17">
        <v>20</v>
      </c>
      <c r="E19" s="17">
        <v>40</v>
      </c>
      <c r="F19" s="17" t="s">
        <v>159</v>
      </c>
      <c r="G19" s="17">
        <v>30</v>
      </c>
      <c r="H19" s="17" t="s">
        <v>159</v>
      </c>
      <c r="I19" s="17">
        <v>25</v>
      </c>
      <c r="J19" s="20">
        <f t="shared" si="1"/>
        <v>0.03</v>
      </c>
      <c r="K19" s="40">
        <v>5.5</v>
      </c>
      <c r="L19" s="17">
        <v>0.22500000000000001</v>
      </c>
      <c r="M19" s="17">
        <v>6105201000</v>
      </c>
      <c r="N19" s="17" t="s">
        <v>6</v>
      </c>
      <c r="O19" s="65">
        <v>0.12</v>
      </c>
      <c r="P19" s="67">
        <v>0.03</v>
      </c>
    </row>
    <row r="20" spans="1:255" x14ac:dyDescent="0.2">
      <c r="A20" s="19" t="s">
        <v>152</v>
      </c>
      <c r="B20" s="19" t="s">
        <v>350</v>
      </c>
      <c r="C20" s="17" t="s">
        <v>8</v>
      </c>
      <c r="D20" s="17">
        <v>20</v>
      </c>
      <c r="E20" s="17">
        <v>40</v>
      </c>
      <c r="F20" s="17" t="s">
        <v>159</v>
      </c>
      <c r="G20" s="17">
        <v>30</v>
      </c>
      <c r="H20" s="17" t="s">
        <v>159</v>
      </c>
      <c r="I20" s="17">
        <v>20</v>
      </c>
      <c r="J20" s="20">
        <f t="shared" si="1"/>
        <v>2.4E-2</v>
      </c>
      <c r="K20" s="40">
        <v>4.5</v>
      </c>
      <c r="L20" s="17">
        <v>0.17499999999999999</v>
      </c>
      <c r="M20" s="17">
        <v>6106200000</v>
      </c>
      <c r="N20" s="17" t="s">
        <v>6</v>
      </c>
      <c r="O20" s="65">
        <v>0.12</v>
      </c>
      <c r="P20" s="67">
        <v>0.03</v>
      </c>
    </row>
    <row r="21" spans="1:255" x14ac:dyDescent="0.2">
      <c r="A21" s="213" t="s">
        <v>153</v>
      </c>
      <c r="B21" s="213" t="s">
        <v>365</v>
      </c>
      <c r="C21" s="17" t="s">
        <v>182</v>
      </c>
      <c r="D21" s="195">
        <v>20</v>
      </c>
      <c r="E21" s="17">
        <v>60</v>
      </c>
      <c r="F21" s="17" t="s">
        <v>159</v>
      </c>
      <c r="G21" s="17">
        <v>40</v>
      </c>
      <c r="H21" s="17" t="s">
        <v>159</v>
      </c>
      <c r="I21" s="17">
        <v>20</v>
      </c>
      <c r="J21" s="20">
        <f t="shared" si="0"/>
        <v>4.8000000000000001E-2</v>
      </c>
      <c r="K21" s="262">
        <v>8.6</v>
      </c>
      <c r="L21" s="261">
        <v>0.33</v>
      </c>
      <c r="M21" s="195">
        <v>6110309100</v>
      </c>
      <c r="N21" s="195" t="s">
        <v>6</v>
      </c>
      <c r="O21" s="65">
        <v>0.12</v>
      </c>
      <c r="P21" s="67">
        <v>0.03</v>
      </c>
    </row>
    <row r="22" spans="1:255" x14ac:dyDescent="0.2">
      <c r="A22" s="213"/>
      <c r="B22" s="213"/>
      <c r="C22" s="17" t="s">
        <v>158</v>
      </c>
      <c r="D22" s="195"/>
      <c r="E22" s="17">
        <v>60</v>
      </c>
      <c r="F22" s="17" t="s">
        <v>159</v>
      </c>
      <c r="G22" s="17">
        <v>40</v>
      </c>
      <c r="H22" s="17" t="s">
        <v>159</v>
      </c>
      <c r="I22" s="17">
        <v>20</v>
      </c>
      <c r="J22" s="20">
        <f t="shared" si="0"/>
        <v>4.8000000000000001E-2</v>
      </c>
      <c r="K22" s="262"/>
      <c r="L22" s="261"/>
      <c r="M22" s="195"/>
      <c r="N22" s="195"/>
      <c r="O22" s="65"/>
      <c r="P22" s="68"/>
    </row>
    <row r="23" spans="1:255" x14ac:dyDescent="0.2">
      <c r="A23" s="19" t="s">
        <v>187</v>
      </c>
      <c r="B23" s="19" t="s">
        <v>364</v>
      </c>
      <c r="C23" s="17" t="s">
        <v>28</v>
      </c>
      <c r="D23" s="17">
        <v>10</v>
      </c>
      <c r="E23" s="17">
        <v>40</v>
      </c>
      <c r="F23" s="17" t="s">
        <v>159</v>
      </c>
      <c r="G23" s="17">
        <v>30</v>
      </c>
      <c r="H23" s="17" t="s">
        <v>159</v>
      </c>
      <c r="I23" s="17">
        <v>15</v>
      </c>
      <c r="J23" s="20">
        <f>(E23*G23*I23)*0.000001</f>
        <v>1.7999999999999999E-2</v>
      </c>
      <c r="K23" s="40">
        <v>4.5</v>
      </c>
      <c r="L23" s="17">
        <f>3.5/10</f>
        <v>0.35</v>
      </c>
      <c r="M23" s="17">
        <v>6103430000</v>
      </c>
      <c r="N23" s="17" t="s">
        <v>6</v>
      </c>
      <c r="O23" s="65">
        <v>0.12</v>
      </c>
      <c r="P23" s="67">
        <v>0.03</v>
      </c>
    </row>
    <row r="24" spans="1:255" x14ac:dyDescent="0.2">
      <c r="A24" s="19" t="s">
        <v>188</v>
      </c>
      <c r="B24" s="19" t="s">
        <v>363</v>
      </c>
      <c r="C24" s="17" t="s">
        <v>8</v>
      </c>
      <c r="D24" s="17">
        <v>10</v>
      </c>
      <c r="E24" s="17">
        <v>40</v>
      </c>
      <c r="F24" s="17" t="s">
        <v>159</v>
      </c>
      <c r="G24" s="17">
        <v>30</v>
      </c>
      <c r="H24" s="17" t="s">
        <v>159</v>
      </c>
      <c r="I24" s="17">
        <v>15</v>
      </c>
      <c r="J24" s="20">
        <f>(E24*G24*I24)*0.000001</f>
        <v>1.7999999999999999E-2</v>
      </c>
      <c r="K24" s="40">
        <v>4</v>
      </c>
      <c r="L24" s="17">
        <f>4/10</f>
        <v>0.4</v>
      </c>
      <c r="M24" s="17">
        <v>6104630000</v>
      </c>
      <c r="N24" s="17" t="s">
        <v>6</v>
      </c>
      <c r="O24" s="65">
        <v>0.12</v>
      </c>
      <c r="P24" s="67">
        <v>0.03</v>
      </c>
    </row>
    <row r="25" spans="1:255" x14ac:dyDescent="0.2">
      <c r="A25" s="19" t="s">
        <v>189</v>
      </c>
      <c r="B25" s="19" t="s">
        <v>366</v>
      </c>
      <c r="C25" s="17" t="s">
        <v>390</v>
      </c>
      <c r="D25" s="17">
        <v>10</v>
      </c>
      <c r="E25" s="17">
        <v>60</v>
      </c>
      <c r="F25" s="17" t="s">
        <v>159</v>
      </c>
      <c r="G25" s="17">
        <v>40</v>
      </c>
      <c r="H25" s="17" t="s">
        <v>159</v>
      </c>
      <c r="I25" s="17">
        <v>12</v>
      </c>
      <c r="J25" s="20">
        <f t="shared" si="0"/>
        <v>2.8799999999999999E-2</v>
      </c>
      <c r="K25" s="40">
        <v>4.5</v>
      </c>
      <c r="L25" s="17">
        <f>3.5/10</f>
        <v>0.35</v>
      </c>
      <c r="M25" s="17">
        <v>6201930000</v>
      </c>
      <c r="N25" s="17" t="s">
        <v>6</v>
      </c>
      <c r="O25" s="65">
        <v>0.12</v>
      </c>
      <c r="P25" s="67">
        <v>0.03</v>
      </c>
    </row>
    <row r="26" spans="1:255" x14ac:dyDescent="0.2">
      <c r="A26" s="19" t="s">
        <v>308</v>
      </c>
      <c r="B26" s="19" t="s">
        <v>358</v>
      </c>
      <c r="C26" s="17" t="s">
        <v>28</v>
      </c>
      <c r="D26" s="17">
        <v>20</v>
      </c>
      <c r="E26" s="17">
        <v>40</v>
      </c>
      <c r="F26" s="17" t="s">
        <v>159</v>
      </c>
      <c r="G26" s="17">
        <v>30</v>
      </c>
      <c r="H26" s="17" t="s">
        <v>159</v>
      </c>
      <c r="I26" s="17">
        <v>25</v>
      </c>
      <c r="J26" s="20">
        <f>(E26*G26*I26)*0.000001</f>
        <v>0.03</v>
      </c>
      <c r="K26" s="40">
        <v>4.5</v>
      </c>
      <c r="L26" s="17">
        <f>3.5/20</f>
        <v>0.17499999999999999</v>
      </c>
      <c r="M26" s="17">
        <v>6109909000</v>
      </c>
      <c r="N26" s="17" t="s">
        <v>6</v>
      </c>
      <c r="O26" s="65">
        <v>0.12</v>
      </c>
      <c r="P26" s="67">
        <v>0.03</v>
      </c>
    </row>
    <row r="27" spans="1:255" x14ac:dyDescent="0.2">
      <c r="A27" s="19" t="s">
        <v>190</v>
      </c>
      <c r="B27" s="19" t="s">
        <v>351</v>
      </c>
      <c r="C27" s="17" t="s">
        <v>8</v>
      </c>
      <c r="D27" s="17">
        <v>20</v>
      </c>
      <c r="E27" s="17">
        <v>40</v>
      </c>
      <c r="F27" s="17" t="s">
        <v>159</v>
      </c>
      <c r="G27" s="17">
        <v>30</v>
      </c>
      <c r="H27" s="17" t="s">
        <v>159</v>
      </c>
      <c r="I27" s="17">
        <v>20</v>
      </c>
      <c r="J27" s="20">
        <f>(E27*G27*I27)*0.000001</f>
        <v>2.4E-2</v>
      </c>
      <c r="K27" s="40">
        <v>4</v>
      </c>
      <c r="L27" s="17">
        <f>3/20</f>
        <v>0.15</v>
      </c>
      <c r="M27" s="17">
        <v>6109909000</v>
      </c>
      <c r="N27" s="17" t="s">
        <v>6</v>
      </c>
      <c r="O27" s="65">
        <v>0.12</v>
      </c>
      <c r="P27" s="67">
        <v>0.03</v>
      </c>
    </row>
    <row r="28" spans="1:255" ht="39" x14ac:dyDescent="0.2">
      <c r="A28" s="19" t="s">
        <v>191</v>
      </c>
      <c r="B28" s="19" t="s">
        <v>367</v>
      </c>
      <c r="C28" s="17" t="s">
        <v>192</v>
      </c>
      <c r="D28" s="17">
        <v>20</v>
      </c>
      <c r="E28" s="17">
        <v>40</v>
      </c>
      <c r="F28" s="17" t="s">
        <v>159</v>
      </c>
      <c r="G28" s="17">
        <v>30</v>
      </c>
      <c r="H28" s="17" t="s">
        <v>159</v>
      </c>
      <c r="I28" s="17">
        <v>20</v>
      </c>
      <c r="J28" s="20">
        <f t="shared" si="0"/>
        <v>2.4E-2</v>
      </c>
      <c r="K28" s="40">
        <v>3.5</v>
      </c>
      <c r="L28" s="17">
        <f>2.5/20</f>
        <v>0.125</v>
      </c>
      <c r="M28" s="17">
        <v>6211120000</v>
      </c>
      <c r="N28" s="17" t="s">
        <v>6</v>
      </c>
      <c r="O28" s="65">
        <v>0.12</v>
      </c>
      <c r="P28" s="67">
        <v>0.03</v>
      </c>
    </row>
    <row r="29" spans="1:255" ht="39" x14ac:dyDescent="0.2">
      <c r="A29" s="19" t="s">
        <v>193</v>
      </c>
      <c r="B29" s="19" t="s">
        <v>368</v>
      </c>
      <c r="C29" s="17" t="s">
        <v>192</v>
      </c>
      <c r="D29" s="17">
        <v>20</v>
      </c>
      <c r="E29" s="17">
        <v>40</v>
      </c>
      <c r="F29" s="17" t="s">
        <v>159</v>
      </c>
      <c r="G29" s="17">
        <v>30</v>
      </c>
      <c r="H29" s="17" t="s">
        <v>159</v>
      </c>
      <c r="I29" s="17">
        <v>20</v>
      </c>
      <c r="J29" s="20">
        <f t="shared" si="0"/>
        <v>2.4E-2</v>
      </c>
      <c r="K29" s="40">
        <v>3.5</v>
      </c>
      <c r="L29" s="17">
        <f>2.5/20</f>
        <v>0.125</v>
      </c>
      <c r="M29" s="17">
        <v>6211110000</v>
      </c>
      <c r="N29" s="17" t="s">
        <v>6</v>
      </c>
      <c r="O29" s="65">
        <v>0.12</v>
      </c>
      <c r="P29" s="67">
        <v>0.03</v>
      </c>
    </row>
    <row r="30" spans="1:255" s="32" customFormat="1" x14ac:dyDescent="0.2">
      <c r="A30" s="19" t="s">
        <v>154</v>
      </c>
      <c r="B30" s="19" t="s">
        <v>369</v>
      </c>
      <c r="C30" s="17" t="s">
        <v>47</v>
      </c>
      <c r="D30" s="17">
        <v>10</v>
      </c>
      <c r="E30" s="17">
        <v>60</v>
      </c>
      <c r="F30" s="17" t="s">
        <v>159</v>
      </c>
      <c r="G30" s="17">
        <v>40</v>
      </c>
      <c r="H30" s="17" t="s">
        <v>159</v>
      </c>
      <c r="I30" s="17">
        <v>12</v>
      </c>
      <c r="J30" s="20">
        <f t="shared" si="0"/>
        <v>2.8799999999999999E-2</v>
      </c>
      <c r="K30" s="40">
        <v>4</v>
      </c>
      <c r="L30" s="22">
        <v>0.3</v>
      </c>
      <c r="M30" s="17">
        <v>6210400000</v>
      </c>
      <c r="N30" s="17" t="s">
        <v>6</v>
      </c>
      <c r="O30" s="65">
        <v>0.12</v>
      </c>
      <c r="P30" s="67">
        <v>0.03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x14ac:dyDescent="0.2">
      <c r="A31" s="19" t="s">
        <v>194</v>
      </c>
      <c r="B31" s="19" t="s">
        <v>370</v>
      </c>
      <c r="C31" s="17" t="s">
        <v>47</v>
      </c>
      <c r="D31" s="17">
        <v>20</v>
      </c>
      <c r="E31" s="17">
        <v>40</v>
      </c>
      <c r="F31" s="17" t="s">
        <v>159</v>
      </c>
      <c r="G31" s="17">
        <v>30</v>
      </c>
      <c r="H31" s="17" t="s">
        <v>159</v>
      </c>
      <c r="I31" s="17">
        <v>20</v>
      </c>
      <c r="J31" s="20">
        <f t="shared" si="0"/>
        <v>2.4E-2</v>
      </c>
      <c r="K31" s="40">
        <v>3.5</v>
      </c>
      <c r="L31" s="22">
        <f>2.5/20</f>
        <v>0.125</v>
      </c>
      <c r="M31" s="17">
        <v>6109909000</v>
      </c>
      <c r="N31" s="17" t="s">
        <v>6</v>
      </c>
      <c r="O31" s="65">
        <v>0.12</v>
      </c>
      <c r="P31" s="67">
        <v>0.03</v>
      </c>
    </row>
    <row r="32" spans="1:255" x14ac:dyDescent="0.2">
      <c r="A32" s="4" t="s">
        <v>400</v>
      </c>
      <c r="B32" s="4" t="s">
        <v>579</v>
      </c>
      <c r="C32" s="5" t="s">
        <v>47</v>
      </c>
      <c r="D32" s="17">
        <v>20</v>
      </c>
      <c r="E32" s="17">
        <v>60</v>
      </c>
      <c r="F32" s="17" t="s">
        <v>159</v>
      </c>
      <c r="G32" s="17">
        <v>40</v>
      </c>
      <c r="H32" s="17" t="s">
        <v>159</v>
      </c>
      <c r="I32" s="17">
        <v>20</v>
      </c>
      <c r="J32" s="20">
        <f>(E32*G32*I32)*0.000001</f>
        <v>4.8000000000000001E-2</v>
      </c>
      <c r="K32" s="40">
        <v>6</v>
      </c>
      <c r="L32" s="20">
        <v>0.2</v>
      </c>
      <c r="M32" s="17">
        <v>6114300000</v>
      </c>
      <c r="N32" s="17" t="s">
        <v>6</v>
      </c>
      <c r="O32" s="65">
        <v>0.12</v>
      </c>
      <c r="P32" s="67">
        <v>0.03</v>
      </c>
    </row>
    <row r="33" spans="1:16" x14ac:dyDescent="0.2">
      <c r="A33" s="4" t="s">
        <v>399</v>
      </c>
      <c r="B33" s="4" t="s">
        <v>578</v>
      </c>
      <c r="C33" s="5" t="s">
        <v>8</v>
      </c>
      <c r="D33" s="17">
        <v>20</v>
      </c>
      <c r="E33" s="17">
        <v>60</v>
      </c>
      <c r="F33" s="17" t="s">
        <v>159</v>
      </c>
      <c r="G33" s="17">
        <v>40</v>
      </c>
      <c r="H33" s="17" t="s">
        <v>159</v>
      </c>
      <c r="I33" s="17">
        <v>20</v>
      </c>
      <c r="J33" s="20">
        <f t="shared" si="0"/>
        <v>4.8000000000000001E-2</v>
      </c>
      <c r="K33" s="40">
        <v>5.6</v>
      </c>
      <c r="L33" s="20">
        <v>0.18</v>
      </c>
      <c r="M33" s="17">
        <v>6114300000</v>
      </c>
      <c r="N33" s="17" t="s">
        <v>6</v>
      </c>
      <c r="O33" s="65">
        <v>0.12</v>
      </c>
      <c r="P33" s="67">
        <v>0.03</v>
      </c>
    </row>
    <row r="34" spans="1:16" x14ac:dyDescent="0.2">
      <c r="A34" s="4" t="s">
        <v>402</v>
      </c>
      <c r="B34" s="4" t="s">
        <v>581</v>
      </c>
      <c r="C34" s="5" t="s">
        <v>47</v>
      </c>
      <c r="D34" s="5">
        <v>20</v>
      </c>
      <c r="E34" s="17">
        <v>60</v>
      </c>
      <c r="F34" s="17" t="s">
        <v>159</v>
      </c>
      <c r="G34" s="17">
        <v>40</v>
      </c>
      <c r="H34" s="17" t="s">
        <v>159</v>
      </c>
      <c r="I34" s="17">
        <v>20</v>
      </c>
      <c r="J34" s="20">
        <f>(E34*G34*I34)*0.000001</f>
        <v>4.8000000000000001E-2</v>
      </c>
      <c r="K34" s="40">
        <v>7</v>
      </c>
      <c r="L34" s="20">
        <v>0.25</v>
      </c>
      <c r="M34" s="17">
        <v>6110309100</v>
      </c>
      <c r="N34" s="17" t="s">
        <v>6</v>
      </c>
      <c r="O34" s="65">
        <v>0.12</v>
      </c>
      <c r="P34" s="67">
        <v>0.03</v>
      </c>
    </row>
    <row r="35" spans="1:16" x14ac:dyDescent="0.2">
      <c r="A35" s="4" t="s">
        <v>401</v>
      </c>
      <c r="B35" s="4" t="s">
        <v>580</v>
      </c>
      <c r="C35" s="5" t="s">
        <v>8</v>
      </c>
      <c r="D35" s="5">
        <v>20</v>
      </c>
      <c r="E35" s="17">
        <v>60</v>
      </c>
      <c r="F35" s="17" t="s">
        <v>159</v>
      </c>
      <c r="G35" s="17">
        <v>40</v>
      </c>
      <c r="H35" s="17" t="s">
        <v>159</v>
      </c>
      <c r="I35" s="17">
        <v>20</v>
      </c>
      <c r="J35" s="20">
        <f t="shared" si="0"/>
        <v>4.8000000000000001E-2</v>
      </c>
      <c r="K35" s="40">
        <v>5.6</v>
      </c>
      <c r="L35" s="20">
        <v>0.18</v>
      </c>
      <c r="M35" s="17">
        <v>6110309900</v>
      </c>
      <c r="N35" s="17" t="s">
        <v>6</v>
      </c>
      <c r="O35" s="65">
        <v>0.12</v>
      </c>
      <c r="P35" s="67">
        <v>0.03</v>
      </c>
    </row>
    <row r="36" spans="1:16" x14ac:dyDescent="0.2">
      <c r="A36" s="197" t="s">
        <v>997</v>
      </c>
      <c r="B36" s="197" t="s">
        <v>998</v>
      </c>
      <c r="C36" s="118" t="s">
        <v>166</v>
      </c>
      <c r="D36" s="188">
        <v>15</v>
      </c>
      <c r="E36" s="118">
        <v>60</v>
      </c>
      <c r="F36" s="118" t="s">
        <v>159</v>
      </c>
      <c r="G36" s="118">
        <v>40</v>
      </c>
      <c r="H36" s="118" t="s">
        <v>159</v>
      </c>
      <c r="I36" s="118">
        <v>40</v>
      </c>
      <c r="J36" s="119">
        <f t="shared" si="0"/>
        <v>9.6000000000000002E-2</v>
      </c>
      <c r="K36" s="249">
        <v>8.1999999999999993</v>
      </c>
      <c r="L36" s="191">
        <f>6.5/15</f>
        <v>0.43333333333333335</v>
      </c>
      <c r="M36" s="188">
        <v>6103390090</v>
      </c>
      <c r="N36" s="188" t="s">
        <v>108</v>
      </c>
      <c r="O36" s="65"/>
      <c r="P36" s="67"/>
    </row>
    <row r="37" spans="1:16" x14ac:dyDescent="0.2">
      <c r="A37" s="198"/>
      <c r="B37" s="198"/>
      <c r="C37" s="118" t="s">
        <v>167</v>
      </c>
      <c r="D37" s="189"/>
      <c r="E37" s="118">
        <v>60</v>
      </c>
      <c r="F37" s="118" t="s">
        <v>159</v>
      </c>
      <c r="G37" s="118">
        <v>40</v>
      </c>
      <c r="H37" s="118" t="s">
        <v>159</v>
      </c>
      <c r="I37" s="118">
        <v>45</v>
      </c>
      <c r="J37" s="119">
        <f t="shared" si="0"/>
        <v>0.108</v>
      </c>
      <c r="K37" s="250"/>
      <c r="L37" s="192"/>
      <c r="M37" s="189"/>
      <c r="N37" s="189"/>
      <c r="O37" s="65"/>
      <c r="P37" s="67"/>
    </row>
    <row r="38" spans="1:16" x14ac:dyDescent="0.2">
      <c r="A38" s="197" t="s">
        <v>999</v>
      </c>
      <c r="B38" s="197" t="s">
        <v>1000</v>
      </c>
      <c r="C38" s="118" t="s">
        <v>163</v>
      </c>
      <c r="D38" s="188">
        <v>15</v>
      </c>
      <c r="E38" s="118">
        <v>60</v>
      </c>
      <c r="F38" s="118" t="s">
        <v>159</v>
      </c>
      <c r="G38" s="118">
        <v>40</v>
      </c>
      <c r="H38" s="118" t="s">
        <v>159</v>
      </c>
      <c r="I38" s="118">
        <v>40</v>
      </c>
      <c r="J38" s="119">
        <f t="shared" si="0"/>
        <v>9.6000000000000002E-2</v>
      </c>
      <c r="K38" s="249">
        <v>6.9</v>
      </c>
      <c r="L38" s="191">
        <f>5.5/15</f>
        <v>0.36666666666666664</v>
      </c>
      <c r="M38" s="188">
        <v>6104390090</v>
      </c>
      <c r="N38" s="188" t="s">
        <v>108</v>
      </c>
      <c r="O38" s="65"/>
      <c r="P38" s="67"/>
    </row>
    <row r="39" spans="1:16" x14ac:dyDescent="0.2">
      <c r="A39" s="198"/>
      <c r="B39" s="198"/>
      <c r="C39" s="118" t="s">
        <v>162</v>
      </c>
      <c r="D39" s="189"/>
      <c r="E39" s="118">
        <v>60</v>
      </c>
      <c r="F39" s="118" t="s">
        <v>159</v>
      </c>
      <c r="G39" s="118">
        <v>40</v>
      </c>
      <c r="H39" s="118" t="s">
        <v>159</v>
      </c>
      <c r="I39" s="118">
        <v>45</v>
      </c>
      <c r="J39" s="119">
        <f t="shared" si="0"/>
        <v>0.108</v>
      </c>
      <c r="K39" s="250"/>
      <c r="L39" s="192"/>
      <c r="M39" s="189"/>
      <c r="N39" s="189"/>
      <c r="O39" s="65"/>
      <c r="P39" s="67"/>
    </row>
    <row r="40" spans="1:16" x14ac:dyDescent="0.2">
      <c r="A40" s="19" t="s">
        <v>464</v>
      </c>
      <c r="B40" s="19" t="s">
        <v>582</v>
      </c>
      <c r="C40" s="17" t="s">
        <v>7</v>
      </c>
      <c r="D40" s="17">
        <v>20</v>
      </c>
      <c r="E40" s="17">
        <v>35</v>
      </c>
      <c r="F40" s="17" t="s">
        <v>159</v>
      </c>
      <c r="G40" s="17">
        <v>15</v>
      </c>
      <c r="H40" s="17" t="s">
        <v>159</v>
      </c>
      <c r="I40" s="17">
        <v>21</v>
      </c>
      <c r="J40" s="20">
        <f t="shared" si="0"/>
        <v>1.1025E-2</v>
      </c>
      <c r="K40" s="40">
        <v>2.7</v>
      </c>
      <c r="L40" s="20">
        <v>0.1</v>
      </c>
      <c r="M40" s="17">
        <v>6103430000</v>
      </c>
      <c r="N40" s="17" t="s">
        <v>6</v>
      </c>
      <c r="O40" s="65">
        <v>0.12</v>
      </c>
      <c r="P40" s="67">
        <v>0.03</v>
      </c>
    </row>
    <row r="41" spans="1:16" ht="58.5" x14ac:dyDescent="0.2">
      <c r="A41" s="4" t="s">
        <v>403</v>
      </c>
      <c r="B41" s="19" t="s">
        <v>584</v>
      </c>
      <c r="C41" s="5" t="s">
        <v>404</v>
      </c>
      <c r="D41" s="5">
        <v>20</v>
      </c>
      <c r="E41" s="17">
        <v>40</v>
      </c>
      <c r="F41" s="17" t="s">
        <v>159</v>
      </c>
      <c r="G41" s="17">
        <v>28</v>
      </c>
      <c r="H41" s="17" t="s">
        <v>159</v>
      </c>
      <c r="I41" s="17">
        <v>20</v>
      </c>
      <c r="J41" s="20">
        <f>(E41*G41*I41)*0.000001</f>
        <v>2.24E-2</v>
      </c>
      <c r="K41" s="40">
        <v>3.48</v>
      </c>
      <c r="L41" s="20">
        <v>0.124</v>
      </c>
      <c r="M41" s="17">
        <v>6103430000</v>
      </c>
      <c r="N41" s="17" t="s">
        <v>6</v>
      </c>
      <c r="O41" s="65">
        <v>0.12</v>
      </c>
      <c r="P41" s="67">
        <v>0.03</v>
      </c>
    </row>
    <row r="42" spans="1:16" ht="58.5" x14ac:dyDescent="0.2">
      <c r="A42" s="4" t="s">
        <v>405</v>
      </c>
      <c r="B42" s="19" t="s">
        <v>583</v>
      </c>
      <c r="C42" s="5" t="s">
        <v>404</v>
      </c>
      <c r="D42" s="17">
        <v>20</v>
      </c>
      <c r="E42" s="17">
        <v>36</v>
      </c>
      <c r="F42" s="17" t="s">
        <v>159</v>
      </c>
      <c r="G42" s="17">
        <v>26</v>
      </c>
      <c r="H42" s="17" t="s">
        <v>159</v>
      </c>
      <c r="I42" s="17">
        <v>20</v>
      </c>
      <c r="J42" s="20">
        <f t="shared" si="0"/>
        <v>1.8720000000000001E-2</v>
      </c>
      <c r="K42" s="40">
        <v>3.2</v>
      </c>
      <c r="L42" s="20">
        <v>0.11</v>
      </c>
      <c r="M42" s="17">
        <v>6104630000</v>
      </c>
      <c r="N42" s="17" t="s">
        <v>6</v>
      </c>
      <c r="O42" s="65">
        <v>0.12</v>
      </c>
      <c r="P42" s="67">
        <v>0.03</v>
      </c>
    </row>
    <row r="43" spans="1:16" ht="58.5" x14ac:dyDescent="0.2">
      <c r="A43" s="4" t="s">
        <v>406</v>
      </c>
      <c r="B43" s="19" t="s">
        <v>586</v>
      </c>
      <c r="C43" s="5" t="s">
        <v>404</v>
      </c>
      <c r="D43" s="5">
        <v>20</v>
      </c>
      <c r="E43" s="17">
        <v>39</v>
      </c>
      <c r="F43" s="17" t="s">
        <v>159</v>
      </c>
      <c r="G43" s="17">
        <v>28</v>
      </c>
      <c r="H43" s="17" t="s">
        <v>159</v>
      </c>
      <c r="I43" s="17">
        <v>23</v>
      </c>
      <c r="J43" s="20">
        <f>(E43*G43*I43)*0.000001</f>
        <v>2.5115999999999999E-2</v>
      </c>
      <c r="K43" s="40">
        <v>4.88</v>
      </c>
      <c r="L43" s="20">
        <v>0.19400000000000001</v>
      </c>
      <c r="M43" s="17">
        <v>6103430000</v>
      </c>
      <c r="N43" s="17" t="s">
        <v>6</v>
      </c>
      <c r="O43" s="65">
        <v>0.12</v>
      </c>
      <c r="P43" s="67">
        <v>0.03</v>
      </c>
    </row>
    <row r="44" spans="1:16" ht="58.5" x14ac:dyDescent="0.2">
      <c r="A44" s="4" t="s">
        <v>407</v>
      </c>
      <c r="B44" s="19" t="s">
        <v>585</v>
      </c>
      <c r="C44" s="5" t="s">
        <v>404</v>
      </c>
      <c r="D44" s="5">
        <v>20</v>
      </c>
      <c r="E44" s="17">
        <v>38</v>
      </c>
      <c r="F44" s="17" t="s">
        <v>159</v>
      </c>
      <c r="G44" s="17">
        <v>27</v>
      </c>
      <c r="H44" s="17" t="s">
        <v>159</v>
      </c>
      <c r="I44" s="17">
        <v>23</v>
      </c>
      <c r="J44" s="20">
        <f t="shared" si="0"/>
        <v>2.3597999999999997E-2</v>
      </c>
      <c r="K44" s="40">
        <v>4.5999999999999996</v>
      </c>
      <c r="L44" s="20">
        <v>0.18</v>
      </c>
      <c r="M44" s="17">
        <v>6104630000</v>
      </c>
      <c r="N44" s="17" t="s">
        <v>6</v>
      </c>
      <c r="O44" s="65">
        <v>0.12</v>
      </c>
      <c r="P44" s="67">
        <v>0.03</v>
      </c>
    </row>
    <row r="45" spans="1:16" ht="39" x14ac:dyDescent="0.2">
      <c r="A45" s="4" t="s">
        <v>408</v>
      </c>
      <c r="B45" s="4" t="s">
        <v>587</v>
      </c>
      <c r="C45" s="5" t="s">
        <v>23</v>
      </c>
      <c r="D45" s="5">
        <v>20</v>
      </c>
      <c r="E45" s="17">
        <v>39</v>
      </c>
      <c r="F45" s="17" t="s">
        <v>159</v>
      </c>
      <c r="G45" s="17">
        <v>26</v>
      </c>
      <c r="H45" s="17" t="s">
        <v>159</v>
      </c>
      <c r="I45" s="17">
        <v>23</v>
      </c>
      <c r="J45" s="20">
        <f t="shared" si="0"/>
        <v>2.3321999999999999E-2</v>
      </c>
      <c r="K45" s="40">
        <v>5.04</v>
      </c>
      <c r="L45" s="20">
        <v>0.20200000000000001</v>
      </c>
      <c r="M45" s="17">
        <v>6109909000</v>
      </c>
      <c r="N45" s="17" t="s">
        <v>6</v>
      </c>
      <c r="O45" s="65">
        <v>0.12</v>
      </c>
      <c r="P45" s="67">
        <v>0.03</v>
      </c>
    </row>
    <row r="46" spans="1:16" x14ac:dyDescent="0.2">
      <c r="A46" s="19" t="s">
        <v>465</v>
      </c>
      <c r="B46" s="19" t="s">
        <v>588</v>
      </c>
      <c r="C46" s="17" t="s">
        <v>86</v>
      </c>
      <c r="D46" s="17">
        <v>25</v>
      </c>
      <c r="E46" s="17">
        <v>34</v>
      </c>
      <c r="F46" s="17" t="s">
        <v>159</v>
      </c>
      <c r="G46" s="17">
        <v>24</v>
      </c>
      <c r="H46" s="17" t="s">
        <v>159</v>
      </c>
      <c r="I46" s="17">
        <v>19</v>
      </c>
      <c r="J46" s="20">
        <f t="shared" si="0"/>
        <v>1.5503999999999999E-2</v>
      </c>
      <c r="K46" s="40">
        <v>5.2</v>
      </c>
      <c r="L46" s="20">
        <f>4.7/25</f>
        <v>0.188</v>
      </c>
      <c r="M46" s="17">
        <v>6109909000</v>
      </c>
      <c r="N46" s="17" t="s">
        <v>6</v>
      </c>
      <c r="O46" s="65">
        <v>0.12</v>
      </c>
      <c r="P46" s="67">
        <v>0.03</v>
      </c>
    </row>
    <row r="47" spans="1:16" x14ac:dyDescent="0.2">
      <c r="A47" s="4" t="s">
        <v>409</v>
      </c>
      <c r="B47" s="4" t="s">
        <v>590</v>
      </c>
      <c r="C47" s="5" t="s">
        <v>47</v>
      </c>
      <c r="D47" s="17">
        <v>25</v>
      </c>
      <c r="E47" s="17">
        <v>41</v>
      </c>
      <c r="F47" s="17" t="s">
        <v>159</v>
      </c>
      <c r="G47" s="17">
        <v>30</v>
      </c>
      <c r="H47" s="17" t="s">
        <v>159</v>
      </c>
      <c r="I47" s="17">
        <v>23</v>
      </c>
      <c r="J47" s="20">
        <f>(E47*G47*I47)*0.000001</f>
        <v>2.8289999999999999E-2</v>
      </c>
      <c r="K47" s="40">
        <v>5.35</v>
      </c>
      <c r="L47" s="20">
        <v>0.17399999999999999</v>
      </c>
      <c r="M47" s="17">
        <v>6109909000</v>
      </c>
      <c r="N47" s="17" t="s">
        <v>6</v>
      </c>
      <c r="O47" s="65">
        <v>0.12</v>
      </c>
      <c r="P47" s="67">
        <v>0.03</v>
      </c>
    </row>
    <row r="48" spans="1:16" ht="39" x14ac:dyDescent="0.2">
      <c r="A48" s="4" t="s">
        <v>410</v>
      </c>
      <c r="B48" s="4" t="s">
        <v>589</v>
      </c>
      <c r="C48" s="5" t="s">
        <v>8</v>
      </c>
      <c r="D48" s="5">
        <v>25</v>
      </c>
      <c r="E48" s="17">
        <v>37</v>
      </c>
      <c r="F48" s="17" t="s">
        <v>159</v>
      </c>
      <c r="G48" s="17">
        <v>26</v>
      </c>
      <c r="H48" s="17" t="s">
        <v>159</v>
      </c>
      <c r="I48" s="17">
        <v>18</v>
      </c>
      <c r="J48" s="20">
        <f t="shared" si="0"/>
        <v>1.7315999999999998E-2</v>
      </c>
      <c r="K48" s="40">
        <v>3.8</v>
      </c>
      <c r="L48" s="20">
        <v>0.112</v>
      </c>
      <c r="M48" s="17">
        <v>6109909000</v>
      </c>
      <c r="N48" s="17" t="s">
        <v>6</v>
      </c>
      <c r="O48" s="65">
        <v>0.12</v>
      </c>
      <c r="P48" s="67">
        <v>0.03</v>
      </c>
    </row>
    <row r="49" spans="1:16" x14ac:dyDescent="0.2">
      <c r="A49" s="4" t="s">
        <v>411</v>
      </c>
      <c r="B49" s="4" t="s">
        <v>592</v>
      </c>
      <c r="C49" s="5" t="s">
        <v>47</v>
      </c>
      <c r="D49" s="5">
        <v>25</v>
      </c>
      <c r="E49" s="17">
        <v>41</v>
      </c>
      <c r="F49" s="17" t="s">
        <v>159</v>
      </c>
      <c r="G49" s="17">
        <v>30</v>
      </c>
      <c r="H49" s="17" t="s">
        <v>159</v>
      </c>
      <c r="I49" s="17">
        <v>32</v>
      </c>
      <c r="J49" s="20">
        <f>(E49*G49*I49)*0.000001</f>
        <v>3.9359999999999999E-2</v>
      </c>
      <c r="K49" s="40">
        <v>6.3</v>
      </c>
      <c r="L49" s="20">
        <v>0.21199999999999999</v>
      </c>
      <c r="M49" s="17">
        <v>6109909000</v>
      </c>
      <c r="N49" s="17" t="s">
        <v>6</v>
      </c>
      <c r="O49" s="65">
        <v>0.12</v>
      </c>
      <c r="P49" s="67">
        <v>0.03</v>
      </c>
    </row>
    <row r="50" spans="1:16" x14ac:dyDescent="0.2">
      <c r="A50" s="4" t="s">
        <v>412</v>
      </c>
      <c r="B50" s="4" t="s">
        <v>591</v>
      </c>
      <c r="C50" s="5" t="s">
        <v>8</v>
      </c>
      <c r="D50" s="5">
        <v>25</v>
      </c>
      <c r="E50" s="17">
        <v>37</v>
      </c>
      <c r="F50" s="17" t="s">
        <v>159</v>
      </c>
      <c r="G50" s="17">
        <v>26</v>
      </c>
      <c r="H50" s="17" t="s">
        <v>159</v>
      </c>
      <c r="I50" s="17">
        <v>27</v>
      </c>
      <c r="J50" s="20">
        <f t="shared" si="0"/>
        <v>2.5973999999999997E-2</v>
      </c>
      <c r="K50" s="40">
        <v>4.9000000000000004</v>
      </c>
      <c r="L50" s="20">
        <v>0.156</v>
      </c>
      <c r="M50" s="17">
        <v>6109909000</v>
      </c>
      <c r="N50" s="17" t="s">
        <v>6</v>
      </c>
      <c r="O50" s="65">
        <v>0.12</v>
      </c>
      <c r="P50" s="67">
        <v>0.03</v>
      </c>
    </row>
    <row r="51" spans="1:16" x14ac:dyDescent="0.2">
      <c r="A51" s="19" t="s">
        <v>466</v>
      </c>
      <c r="B51" s="19" t="s">
        <v>509</v>
      </c>
      <c r="C51" s="17" t="s">
        <v>47</v>
      </c>
      <c r="D51" s="17">
        <v>10</v>
      </c>
      <c r="E51" s="17">
        <v>38</v>
      </c>
      <c r="F51" s="17" t="s">
        <v>159</v>
      </c>
      <c r="G51" s="17">
        <v>20</v>
      </c>
      <c r="H51" s="17" t="s">
        <v>159</v>
      </c>
      <c r="I51" s="17">
        <v>28</v>
      </c>
      <c r="J51" s="20">
        <f>(E51*G51*I51)*0.000001</f>
        <v>2.128E-2</v>
      </c>
      <c r="K51" s="40">
        <v>3.8</v>
      </c>
      <c r="L51" s="20">
        <v>0.3</v>
      </c>
      <c r="M51" s="17">
        <v>6110309100</v>
      </c>
      <c r="N51" s="17" t="s">
        <v>6</v>
      </c>
      <c r="O51" s="65">
        <v>0.12</v>
      </c>
      <c r="P51" s="67">
        <v>0.03</v>
      </c>
    </row>
    <row r="52" spans="1:16" x14ac:dyDescent="0.2">
      <c r="A52" s="19" t="s">
        <v>508</v>
      </c>
      <c r="B52" s="19" t="s">
        <v>593</v>
      </c>
      <c r="C52" s="17" t="s">
        <v>8</v>
      </c>
      <c r="D52" s="17">
        <v>10</v>
      </c>
      <c r="E52" s="17">
        <v>38</v>
      </c>
      <c r="F52" s="17" t="s">
        <v>159</v>
      </c>
      <c r="G52" s="17">
        <v>20</v>
      </c>
      <c r="H52" s="17" t="s">
        <v>159</v>
      </c>
      <c r="I52" s="17">
        <v>28</v>
      </c>
      <c r="J52" s="20">
        <f t="shared" si="0"/>
        <v>2.128E-2</v>
      </c>
      <c r="K52" s="40">
        <v>3.5</v>
      </c>
      <c r="L52" s="20">
        <v>0.27</v>
      </c>
      <c r="M52" s="121">
        <v>6110309900</v>
      </c>
      <c r="N52" s="17" t="s">
        <v>6</v>
      </c>
      <c r="O52" s="65">
        <v>0.12</v>
      </c>
      <c r="P52" s="67">
        <v>0.03</v>
      </c>
    </row>
    <row r="53" spans="1:16" x14ac:dyDescent="0.2">
      <c r="A53" s="19" t="s">
        <v>468</v>
      </c>
      <c r="B53" s="19" t="s">
        <v>595</v>
      </c>
      <c r="C53" s="17" t="s">
        <v>29</v>
      </c>
      <c r="D53" s="17">
        <v>10</v>
      </c>
      <c r="E53" s="17">
        <v>64</v>
      </c>
      <c r="F53" s="17" t="s">
        <v>159</v>
      </c>
      <c r="G53" s="17">
        <v>20</v>
      </c>
      <c r="H53" s="17" t="s">
        <v>159</v>
      </c>
      <c r="I53" s="17">
        <v>43</v>
      </c>
      <c r="J53" s="20">
        <f>(E53*G53*I53)*0.000001</f>
        <v>5.5039999999999999E-2</v>
      </c>
      <c r="K53" s="40">
        <v>5.85</v>
      </c>
      <c r="L53" s="20">
        <v>0.48499999999999999</v>
      </c>
      <c r="M53" s="17">
        <v>6110309100</v>
      </c>
      <c r="N53" s="17" t="s">
        <v>6</v>
      </c>
      <c r="O53" s="65">
        <v>0.12</v>
      </c>
      <c r="P53" s="67">
        <v>0.03</v>
      </c>
    </row>
    <row r="54" spans="1:16" x14ac:dyDescent="0.2">
      <c r="A54" s="19" t="s">
        <v>467</v>
      </c>
      <c r="B54" s="19" t="s">
        <v>594</v>
      </c>
      <c r="C54" s="17" t="s">
        <v>8</v>
      </c>
      <c r="D54" s="17">
        <v>10</v>
      </c>
      <c r="E54" s="17">
        <v>56</v>
      </c>
      <c r="F54" s="17" t="s">
        <v>159</v>
      </c>
      <c r="G54" s="17">
        <v>20</v>
      </c>
      <c r="H54" s="17" t="s">
        <v>159</v>
      </c>
      <c r="I54" s="17">
        <v>38</v>
      </c>
      <c r="J54" s="20">
        <f t="shared" si="0"/>
        <v>4.2560000000000001E-2</v>
      </c>
      <c r="K54" s="40">
        <v>5.4</v>
      </c>
      <c r="L54" s="20">
        <v>0.46</v>
      </c>
      <c r="M54" s="17">
        <v>6110309900</v>
      </c>
      <c r="N54" s="17" t="s">
        <v>6</v>
      </c>
      <c r="O54" s="65">
        <v>0.12</v>
      </c>
      <c r="P54" s="67">
        <v>0.03</v>
      </c>
    </row>
    <row r="55" spans="1:16" x14ac:dyDescent="0.2">
      <c r="A55" s="19" t="s">
        <v>518</v>
      </c>
      <c r="B55" s="19" t="s">
        <v>596</v>
      </c>
      <c r="C55" s="17" t="s">
        <v>7</v>
      </c>
      <c r="D55" s="17">
        <v>48</v>
      </c>
      <c r="E55" s="17">
        <v>33</v>
      </c>
      <c r="F55" s="17" t="s">
        <v>159</v>
      </c>
      <c r="G55" s="17">
        <v>38</v>
      </c>
      <c r="H55" s="17" t="s">
        <v>159</v>
      </c>
      <c r="I55" s="17">
        <v>10</v>
      </c>
      <c r="J55" s="20">
        <f t="shared" si="0"/>
        <v>1.2539999999999999E-2</v>
      </c>
      <c r="K55" s="40">
        <v>2.25</v>
      </c>
      <c r="L55" s="20">
        <v>0.05</v>
      </c>
      <c r="M55" s="17">
        <v>6216000000</v>
      </c>
      <c r="N55" s="17" t="s">
        <v>6</v>
      </c>
      <c r="O55" s="65">
        <v>0.12</v>
      </c>
      <c r="P55" s="67">
        <v>0.03</v>
      </c>
    </row>
    <row r="56" spans="1:16" x14ac:dyDescent="0.2">
      <c r="A56" s="19" t="s">
        <v>519</v>
      </c>
      <c r="B56" s="19" t="s">
        <v>597</v>
      </c>
      <c r="C56" s="17" t="s">
        <v>182</v>
      </c>
      <c r="D56" s="17">
        <v>25</v>
      </c>
      <c r="E56" s="17">
        <v>56</v>
      </c>
      <c r="F56" s="17" t="s">
        <v>159</v>
      </c>
      <c r="G56" s="17">
        <v>26</v>
      </c>
      <c r="H56" s="17" t="s">
        <v>159</v>
      </c>
      <c r="I56" s="17">
        <v>17</v>
      </c>
      <c r="J56" s="20">
        <f t="shared" si="0"/>
        <v>2.4752E-2</v>
      </c>
      <c r="K56" s="40">
        <v>3.35</v>
      </c>
      <c r="L56" s="20">
        <v>0.09</v>
      </c>
      <c r="M56" s="17">
        <v>6216000000</v>
      </c>
      <c r="N56" s="17" t="s">
        <v>6</v>
      </c>
      <c r="O56" s="65">
        <v>0.12</v>
      </c>
      <c r="P56" s="67">
        <v>0.03</v>
      </c>
    </row>
    <row r="57" spans="1:16" x14ac:dyDescent="0.2">
      <c r="A57" s="19" t="s">
        <v>520</v>
      </c>
      <c r="B57" s="19" t="s">
        <v>598</v>
      </c>
      <c r="C57" s="17" t="s">
        <v>23</v>
      </c>
      <c r="D57" s="17">
        <v>10</v>
      </c>
      <c r="E57" s="17">
        <v>38</v>
      </c>
      <c r="F57" s="17" t="s">
        <v>159</v>
      </c>
      <c r="G57" s="17">
        <v>12</v>
      </c>
      <c r="H57" s="17" t="s">
        <v>159</v>
      </c>
      <c r="I57" s="17">
        <v>28</v>
      </c>
      <c r="J57" s="20">
        <f t="shared" ref="J57:J79" si="2">(E57*G57*I57)*0.000001</f>
        <v>1.2768E-2</v>
      </c>
      <c r="K57" s="40">
        <v>2.2999999999999998</v>
      </c>
      <c r="L57" s="20">
        <v>0.17</v>
      </c>
      <c r="M57" s="17">
        <v>6210400000</v>
      </c>
      <c r="N57" s="17" t="s">
        <v>6</v>
      </c>
      <c r="O57" s="65">
        <v>0.12</v>
      </c>
      <c r="P57" s="67">
        <v>0.03</v>
      </c>
    </row>
    <row r="58" spans="1:16" x14ac:dyDescent="0.2">
      <c r="A58" s="197" t="s">
        <v>782</v>
      </c>
      <c r="B58" s="197" t="s">
        <v>808</v>
      </c>
      <c r="C58" s="17" t="s">
        <v>20</v>
      </c>
      <c r="D58" s="17">
        <v>10</v>
      </c>
      <c r="E58" s="17">
        <v>41</v>
      </c>
      <c r="F58" s="17" t="s">
        <v>159</v>
      </c>
      <c r="G58" s="17">
        <v>32</v>
      </c>
      <c r="H58" s="17" t="s">
        <v>159</v>
      </c>
      <c r="I58" s="17">
        <v>19</v>
      </c>
      <c r="J58" s="20">
        <f t="shared" si="2"/>
        <v>2.4927999999999999E-2</v>
      </c>
      <c r="K58" s="40">
        <v>6</v>
      </c>
      <c r="L58" s="20">
        <f>5.5/10</f>
        <v>0.55000000000000004</v>
      </c>
      <c r="M58" s="188">
        <v>6203399000</v>
      </c>
      <c r="N58" s="188" t="s">
        <v>6</v>
      </c>
      <c r="O58" s="65">
        <v>0.12</v>
      </c>
      <c r="P58" s="67">
        <v>0.03</v>
      </c>
    </row>
    <row r="59" spans="1:16" x14ac:dyDescent="0.2">
      <c r="A59" s="198"/>
      <c r="B59" s="198"/>
      <c r="C59" s="17" t="s">
        <v>577</v>
      </c>
      <c r="D59" s="17">
        <v>5</v>
      </c>
      <c r="E59" s="17">
        <v>41</v>
      </c>
      <c r="F59" s="17" t="s">
        <v>159</v>
      </c>
      <c r="G59" s="17">
        <v>32</v>
      </c>
      <c r="H59" s="17" t="s">
        <v>159</v>
      </c>
      <c r="I59" s="17">
        <v>12</v>
      </c>
      <c r="J59" s="20">
        <f t="shared" si="2"/>
        <v>1.5743999999999998E-2</v>
      </c>
      <c r="K59" s="40">
        <v>3.5</v>
      </c>
      <c r="L59" s="20">
        <v>0.6</v>
      </c>
      <c r="M59" s="189"/>
      <c r="N59" s="189"/>
      <c r="O59" s="65"/>
      <c r="P59" s="67"/>
    </row>
    <row r="60" spans="1:16" x14ac:dyDescent="0.2">
      <c r="A60" s="19" t="s">
        <v>469</v>
      </c>
      <c r="B60" s="19" t="s">
        <v>600</v>
      </c>
      <c r="C60" s="17" t="s">
        <v>86</v>
      </c>
      <c r="D60" s="17">
        <v>25</v>
      </c>
      <c r="E60" s="17">
        <v>32</v>
      </c>
      <c r="F60" s="17" t="s">
        <v>159</v>
      </c>
      <c r="G60" s="17">
        <v>27</v>
      </c>
      <c r="H60" s="17" t="s">
        <v>159</v>
      </c>
      <c r="I60" s="17">
        <v>29</v>
      </c>
      <c r="J60" s="20">
        <f t="shared" si="2"/>
        <v>2.5055999999999998E-2</v>
      </c>
      <c r="K60" s="40">
        <v>3.95</v>
      </c>
      <c r="L60" s="20">
        <v>0.126</v>
      </c>
      <c r="M60" s="17">
        <v>6104530000</v>
      </c>
      <c r="N60" s="17" t="s">
        <v>6</v>
      </c>
      <c r="O60" s="65">
        <v>0.12</v>
      </c>
      <c r="P60" s="67">
        <v>0.03</v>
      </c>
    </row>
    <row r="61" spans="1:16" x14ac:dyDescent="0.2">
      <c r="A61" s="19" t="s">
        <v>470</v>
      </c>
      <c r="B61" s="19" t="s">
        <v>599</v>
      </c>
      <c r="C61" s="17" t="s">
        <v>47</v>
      </c>
      <c r="D61" s="17">
        <v>25</v>
      </c>
      <c r="E61" s="17">
        <v>41</v>
      </c>
      <c r="F61" s="17" t="s">
        <v>159</v>
      </c>
      <c r="G61" s="17">
        <v>29</v>
      </c>
      <c r="H61" s="17" t="s">
        <v>159</v>
      </c>
      <c r="I61" s="17">
        <v>31</v>
      </c>
      <c r="J61" s="20">
        <f t="shared" si="2"/>
        <v>3.6858999999999996E-2</v>
      </c>
      <c r="K61" s="40">
        <v>5.625</v>
      </c>
      <c r="L61" s="20">
        <v>1.1850000000000001</v>
      </c>
      <c r="M61" s="17">
        <v>6104530000</v>
      </c>
      <c r="N61" s="17" t="s">
        <v>6</v>
      </c>
      <c r="O61" s="65">
        <v>0.12</v>
      </c>
      <c r="P61" s="67">
        <v>0.03</v>
      </c>
    </row>
    <row r="62" spans="1:16" x14ac:dyDescent="0.2">
      <c r="A62" s="19" t="s">
        <v>472</v>
      </c>
      <c r="B62" s="19" t="s">
        <v>602</v>
      </c>
      <c r="C62" s="17" t="s">
        <v>29</v>
      </c>
      <c r="D62" s="17">
        <v>10</v>
      </c>
      <c r="E62" s="17">
        <v>62</v>
      </c>
      <c r="F62" s="17" t="s">
        <v>159</v>
      </c>
      <c r="G62" s="17">
        <v>12</v>
      </c>
      <c r="H62" s="17" t="s">
        <v>159</v>
      </c>
      <c r="I62" s="17">
        <v>41</v>
      </c>
      <c r="J62" s="20">
        <f>(E62*G62*I62)*0.000001</f>
        <v>3.0504E-2</v>
      </c>
      <c r="K62" s="40">
        <v>3.9</v>
      </c>
      <c r="L62" s="20">
        <v>0.31</v>
      </c>
      <c r="M62" s="17">
        <v>6110909090</v>
      </c>
      <c r="N62" s="17" t="s">
        <v>6</v>
      </c>
      <c r="O62" s="65">
        <v>0.12</v>
      </c>
      <c r="P62" s="67">
        <v>0.03</v>
      </c>
    </row>
    <row r="63" spans="1:16" x14ac:dyDescent="0.2">
      <c r="A63" s="19" t="s">
        <v>471</v>
      </c>
      <c r="B63" s="19" t="s">
        <v>601</v>
      </c>
      <c r="C63" s="17" t="s">
        <v>8</v>
      </c>
      <c r="D63" s="17">
        <v>10</v>
      </c>
      <c r="E63" s="17">
        <v>54</v>
      </c>
      <c r="F63" s="17" t="s">
        <v>159</v>
      </c>
      <c r="G63" s="17">
        <v>12</v>
      </c>
      <c r="H63" s="17" t="s">
        <v>159</v>
      </c>
      <c r="I63" s="17">
        <v>38</v>
      </c>
      <c r="J63" s="20">
        <f t="shared" si="2"/>
        <v>2.4624E-2</v>
      </c>
      <c r="K63" s="40">
        <v>3.4</v>
      </c>
      <c r="L63" s="20">
        <v>0.26</v>
      </c>
      <c r="M63" s="17">
        <v>6110909090</v>
      </c>
      <c r="N63" s="17" t="s">
        <v>6</v>
      </c>
      <c r="O63" s="65">
        <v>0.12</v>
      </c>
      <c r="P63" s="67">
        <v>0.03</v>
      </c>
    </row>
    <row r="64" spans="1:16" x14ac:dyDescent="0.2">
      <c r="A64" s="19" t="s">
        <v>783</v>
      </c>
      <c r="B64" s="19" t="s">
        <v>809</v>
      </c>
      <c r="C64" s="17" t="s">
        <v>9</v>
      </c>
      <c r="D64" s="17">
        <v>50</v>
      </c>
      <c r="E64" s="17">
        <v>32</v>
      </c>
      <c r="F64" s="17" t="s">
        <v>159</v>
      </c>
      <c r="G64" s="17">
        <v>25</v>
      </c>
      <c r="H64" s="17" t="s">
        <v>159</v>
      </c>
      <c r="I64" s="17">
        <v>20</v>
      </c>
      <c r="J64" s="20">
        <f t="shared" si="2"/>
        <v>1.6E-2</v>
      </c>
      <c r="K64" s="40">
        <v>2.5</v>
      </c>
      <c r="L64" s="20">
        <v>3.7999999999999999E-2</v>
      </c>
      <c r="M64" s="17">
        <v>6505009090</v>
      </c>
      <c r="N64" s="17" t="s">
        <v>6</v>
      </c>
      <c r="O64" s="65">
        <v>0.12</v>
      </c>
      <c r="P64" s="67">
        <v>0.03</v>
      </c>
    </row>
    <row r="65" spans="1:255" x14ac:dyDescent="0.2">
      <c r="A65" s="19" t="s">
        <v>510</v>
      </c>
      <c r="B65" s="19" t="s">
        <v>603</v>
      </c>
      <c r="C65" s="17" t="s">
        <v>20</v>
      </c>
      <c r="D65" s="17">
        <v>10</v>
      </c>
      <c r="E65" s="17">
        <v>40</v>
      </c>
      <c r="F65" s="17" t="s">
        <v>159</v>
      </c>
      <c r="G65" s="17">
        <v>30</v>
      </c>
      <c r="H65" s="17" t="s">
        <v>159</v>
      </c>
      <c r="I65" s="17">
        <v>20</v>
      </c>
      <c r="J65" s="20">
        <f t="shared" si="2"/>
        <v>2.4E-2</v>
      </c>
      <c r="K65" s="40">
        <v>5</v>
      </c>
      <c r="L65" s="20">
        <v>0.4</v>
      </c>
      <c r="M65" s="17">
        <v>6211339000</v>
      </c>
      <c r="N65" s="17" t="s">
        <v>6</v>
      </c>
      <c r="O65" s="65">
        <v>0.12</v>
      </c>
      <c r="P65" s="67">
        <v>0.03</v>
      </c>
    </row>
    <row r="66" spans="1:255" ht="58.5" x14ac:dyDescent="0.2">
      <c r="A66" s="19" t="s">
        <v>784</v>
      </c>
      <c r="B66" s="19" t="s">
        <v>810</v>
      </c>
      <c r="C66" s="17" t="s">
        <v>795</v>
      </c>
      <c r="D66" s="17">
        <v>10</v>
      </c>
      <c r="E66" s="17">
        <v>38</v>
      </c>
      <c r="F66" s="17" t="s">
        <v>159</v>
      </c>
      <c r="G66" s="17">
        <v>30</v>
      </c>
      <c r="H66" s="17" t="s">
        <v>159</v>
      </c>
      <c r="I66" s="17">
        <v>18</v>
      </c>
      <c r="J66" s="20">
        <f t="shared" si="2"/>
        <v>2.052E-2</v>
      </c>
      <c r="K66" s="40">
        <v>4.5</v>
      </c>
      <c r="L66" s="20">
        <v>0.4</v>
      </c>
      <c r="M66" s="17">
        <v>6112120000</v>
      </c>
      <c r="N66" s="17" t="s">
        <v>6</v>
      </c>
      <c r="O66" s="65">
        <v>0.12</v>
      </c>
      <c r="P66" s="67">
        <v>0.03</v>
      </c>
    </row>
    <row r="67" spans="1:255" s="32" customFormat="1" x14ac:dyDescent="0.2">
      <c r="A67" s="19" t="s">
        <v>785</v>
      </c>
      <c r="B67" s="19" t="s">
        <v>811</v>
      </c>
      <c r="C67" s="17" t="s">
        <v>7</v>
      </c>
      <c r="D67" s="17">
        <v>25</v>
      </c>
      <c r="E67" s="17">
        <v>50</v>
      </c>
      <c r="F67" s="17" t="s">
        <v>159</v>
      </c>
      <c r="G67" s="17">
        <v>30</v>
      </c>
      <c r="H67" s="17" t="s">
        <v>159</v>
      </c>
      <c r="I67" s="17">
        <v>15</v>
      </c>
      <c r="J67" s="20">
        <f t="shared" si="2"/>
        <v>2.2499999999999999E-2</v>
      </c>
      <c r="K67" s="40">
        <v>1.72</v>
      </c>
      <c r="L67" s="20">
        <f>1.25/25</f>
        <v>0.05</v>
      </c>
      <c r="M67" s="17">
        <v>6116930000</v>
      </c>
      <c r="N67" s="17" t="s">
        <v>6</v>
      </c>
      <c r="O67" s="76">
        <v>0.12</v>
      </c>
      <c r="P67" s="77">
        <v>0.03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s="32" customFormat="1" x14ac:dyDescent="0.2">
      <c r="A68" s="197" t="s">
        <v>898</v>
      </c>
      <c r="B68" s="197" t="s">
        <v>899</v>
      </c>
      <c r="C68" s="17" t="s">
        <v>923</v>
      </c>
      <c r="D68" s="17">
        <v>10</v>
      </c>
      <c r="E68" s="17">
        <v>49</v>
      </c>
      <c r="F68" s="17" t="s">
        <v>159</v>
      </c>
      <c r="G68" s="17">
        <v>33</v>
      </c>
      <c r="H68" s="17" t="s">
        <v>159</v>
      </c>
      <c r="I68" s="17">
        <v>17</v>
      </c>
      <c r="J68" s="20">
        <f t="shared" si="2"/>
        <v>2.7489E-2</v>
      </c>
      <c r="K68" s="40">
        <v>3.9</v>
      </c>
      <c r="L68" s="20">
        <v>0.35</v>
      </c>
      <c r="M68" s="188">
        <v>6202131090</v>
      </c>
      <c r="N68" s="188" t="s">
        <v>6</v>
      </c>
      <c r="O68" s="76"/>
      <c r="P68" s="77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s="32" customFormat="1" x14ac:dyDescent="0.2">
      <c r="A69" s="204"/>
      <c r="B69" s="204"/>
      <c r="C69" s="17" t="s">
        <v>374</v>
      </c>
      <c r="D69" s="17">
        <v>10</v>
      </c>
      <c r="E69" s="17">
        <v>53</v>
      </c>
      <c r="F69" s="17" t="s">
        <v>159</v>
      </c>
      <c r="G69" s="17">
        <v>35</v>
      </c>
      <c r="H69" s="17" t="s">
        <v>159</v>
      </c>
      <c r="I69" s="17">
        <v>17</v>
      </c>
      <c r="J69" s="20">
        <f t="shared" si="2"/>
        <v>3.1535000000000001E-2</v>
      </c>
      <c r="K69" s="40">
        <v>4.7</v>
      </c>
      <c r="L69" s="20">
        <v>0.4</v>
      </c>
      <c r="M69" s="194"/>
      <c r="N69" s="194"/>
      <c r="O69" s="76"/>
      <c r="P69" s="77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s="32" customFormat="1" x14ac:dyDescent="0.2">
      <c r="A70" s="198"/>
      <c r="B70" s="198"/>
      <c r="C70" s="17" t="s">
        <v>168</v>
      </c>
      <c r="D70" s="17">
        <v>10</v>
      </c>
      <c r="E70" s="17">
        <v>55</v>
      </c>
      <c r="F70" s="17" t="s">
        <v>159</v>
      </c>
      <c r="G70" s="17">
        <v>37</v>
      </c>
      <c r="H70" s="17" t="s">
        <v>159</v>
      </c>
      <c r="I70" s="17">
        <v>17</v>
      </c>
      <c r="J70" s="20">
        <f t="shared" si="2"/>
        <v>3.4595000000000001E-2</v>
      </c>
      <c r="K70" s="40">
        <v>5.0999999999999996</v>
      </c>
      <c r="L70" s="20">
        <v>0.44</v>
      </c>
      <c r="M70" s="189"/>
      <c r="N70" s="189"/>
      <c r="O70" s="76"/>
      <c r="P70" s="77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s="32" customFormat="1" x14ac:dyDescent="0.2">
      <c r="A71" s="197" t="s">
        <v>900</v>
      </c>
      <c r="B71" s="197" t="s">
        <v>899</v>
      </c>
      <c r="C71" s="17" t="s">
        <v>166</v>
      </c>
      <c r="D71" s="17">
        <v>10</v>
      </c>
      <c r="E71" s="17">
        <v>53</v>
      </c>
      <c r="F71" s="17" t="s">
        <v>159</v>
      </c>
      <c r="G71" s="17">
        <v>35</v>
      </c>
      <c r="H71" s="17" t="s">
        <v>159</v>
      </c>
      <c r="I71" s="17">
        <v>17</v>
      </c>
      <c r="J71" s="20">
        <f t="shared" si="2"/>
        <v>3.1535000000000001E-2</v>
      </c>
      <c r="K71" s="40">
        <v>4.8</v>
      </c>
      <c r="L71" s="20">
        <v>0.41</v>
      </c>
      <c r="M71" s="188">
        <v>6201131090</v>
      </c>
      <c r="N71" s="188" t="s">
        <v>6</v>
      </c>
      <c r="O71" s="76"/>
      <c r="P71" s="77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s="32" customFormat="1" x14ac:dyDescent="0.2">
      <c r="A72" s="204"/>
      <c r="B72" s="204"/>
      <c r="C72" s="17" t="s">
        <v>107</v>
      </c>
      <c r="D72" s="17">
        <v>10</v>
      </c>
      <c r="E72" s="17">
        <v>55</v>
      </c>
      <c r="F72" s="17" t="s">
        <v>159</v>
      </c>
      <c r="G72" s="17">
        <v>37</v>
      </c>
      <c r="H72" s="17" t="s">
        <v>159</v>
      </c>
      <c r="I72" s="17">
        <v>17</v>
      </c>
      <c r="J72" s="20">
        <f t="shared" si="2"/>
        <v>3.4595000000000001E-2</v>
      </c>
      <c r="K72" s="40">
        <v>5.3</v>
      </c>
      <c r="L72" s="20">
        <v>0.46</v>
      </c>
      <c r="M72" s="194"/>
      <c r="N72" s="194"/>
      <c r="O72" s="76"/>
      <c r="P72" s="77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32" customFormat="1" ht="39" x14ac:dyDescent="0.2">
      <c r="A73" s="198"/>
      <c r="B73" s="198"/>
      <c r="C73" s="17" t="s">
        <v>164</v>
      </c>
      <c r="D73" s="17">
        <v>10</v>
      </c>
      <c r="E73" s="17">
        <v>57</v>
      </c>
      <c r="F73" s="17" t="s">
        <v>159</v>
      </c>
      <c r="G73" s="17">
        <v>39</v>
      </c>
      <c r="H73" s="17" t="s">
        <v>159</v>
      </c>
      <c r="I73" s="17">
        <v>17</v>
      </c>
      <c r="J73" s="20">
        <f t="shared" si="2"/>
        <v>3.7790999999999998E-2</v>
      </c>
      <c r="K73" s="40">
        <v>5.8</v>
      </c>
      <c r="L73" s="20">
        <v>0.5</v>
      </c>
      <c r="M73" s="189"/>
      <c r="N73" s="189"/>
      <c r="O73" s="76"/>
      <c r="P73" s="77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32" customFormat="1" ht="39" x14ac:dyDescent="0.2">
      <c r="A74" s="48" t="s">
        <v>956</v>
      </c>
      <c r="B74" s="48" t="s">
        <v>1015</v>
      </c>
      <c r="C74" s="17" t="s">
        <v>957</v>
      </c>
      <c r="D74" s="17">
        <v>25</v>
      </c>
      <c r="E74" s="17">
        <v>32</v>
      </c>
      <c r="F74" s="17" t="s">
        <v>159</v>
      </c>
      <c r="G74" s="17">
        <v>30</v>
      </c>
      <c r="H74" s="17" t="s">
        <v>159</v>
      </c>
      <c r="I74" s="17">
        <v>25</v>
      </c>
      <c r="J74" s="20">
        <f t="shared" si="2"/>
        <v>2.4E-2</v>
      </c>
      <c r="K74" s="40">
        <v>3.1</v>
      </c>
      <c r="L74" s="20">
        <f>2.659/25</f>
        <v>0.10636</v>
      </c>
      <c r="M74" s="47">
        <v>6109909000</v>
      </c>
      <c r="N74" s="47" t="s">
        <v>6</v>
      </c>
      <c r="O74" s="76"/>
      <c r="P74" s="77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39" x14ac:dyDescent="0.2">
      <c r="A75" s="19" t="s">
        <v>812</v>
      </c>
      <c r="B75" s="19" t="s">
        <v>813</v>
      </c>
      <c r="C75" s="17" t="s">
        <v>192</v>
      </c>
      <c r="D75" s="17">
        <v>25</v>
      </c>
      <c r="E75" s="17">
        <v>38</v>
      </c>
      <c r="F75" s="17" t="s">
        <v>159</v>
      </c>
      <c r="G75" s="17">
        <v>30</v>
      </c>
      <c r="H75" s="17" t="s">
        <v>159</v>
      </c>
      <c r="I75" s="17">
        <v>22</v>
      </c>
      <c r="J75" s="20">
        <f t="shared" si="2"/>
        <v>2.5079999999999998E-2</v>
      </c>
      <c r="K75" s="40">
        <v>4.7</v>
      </c>
      <c r="L75" s="20">
        <v>0.16800000000000001</v>
      </c>
      <c r="M75" s="17">
        <v>6109909000</v>
      </c>
      <c r="N75" s="17" t="s">
        <v>6</v>
      </c>
      <c r="O75" s="65">
        <v>0.12</v>
      </c>
      <c r="P75" s="67">
        <v>0.03</v>
      </c>
    </row>
    <row r="76" spans="1:255" x14ac:dyDescent="0.2">
      <c r="A76" s="19" t="s">
        <v>786</v>
      </c>
      <c r="B76" s="19" t="s">
        <v>815</v>
      </c>
      <c r="C76" s="17" t="s">
        <v>47</v>
      </c>
      <c r="D76" s="17">
        <v>25</v>
      </c>
      <c r="E76" s="17">
        <v>38</v>
      </c>
      <c r="F76" s="17" t="s">
        <v>159</v>
      </c>
      <c r="G76" s="17">
        <v>30</v>
      </c>
      <c r="H76" s="17" t="s">
        <v>159</v>
      </c>
      <c r="I76" s="17">
        <v>22</v>
      </c>
      <c r="J76" s="20">
        <f t="shared" si="2"/>
        <v>2.5079999999999998E-2</v>
      </c>
      <c r="K76" s="40">
        <v>6</v>
      </c>
      <c r="L76" s="20">
        <v>0.22</v>
      </c>
      <c r="M76" s="17">
        <v>6109909000</v>
      </c>
      <c r="N76" s="17" t="s">
        <v>6</v>
      </c>
      <c r="O76" s="65">
        <v>0.12</v>
      </c>
      <c r="P76" s="67">
        <v>0.03</v>
      </c>
    </row>
    <row r="77" spans="1:255" ht="39" x14ac:dyDescent="0.2">
      <c r="A77" s="19" t="s">
        <v>787</v>
      </c>
      <c r="B77" s="19" t="s">
        <v>814</v>
      </c>
      <c r="C77" s="17" t="s">
        <v>192</v>
      </c>
      <c r="D77" s="17">
        <v>25</v>
      </c>
      <c r="E77" s="17">
        <v>38</v>
      </c>
      <c r="F77" s="17" t="s">
        <v>159</v>
      </c>
      <c r="G77" s="17">
        <v>30</v>
      </c>
      <c r="H77" s="17" t="s">
        <v>159</v>
      </c>
      <c r="I77" s="17">
        <v>22</v>
      </c>
      <c r="J77" s="20">
        <f t="shared" si="2"/>
        <v>2.5079999999999998E-2</v>
      </c>
      <c r="K77" s="40">
        <v>4.5999999999999996</v>
      </c>
      <c r="L77" s="20">
        <f>4.1/25</f>
        <v>0.16399999999999998</v>
      </c>
      <c r="M77" s="17">
        <v>6109909000</v>
      </c>
      <c r="N77" s="17" t="s">
        <v>6</v>
      </c>
      <c r="O77" s="65">
        <v>0.12</v>
      </c>
      <c r="P77" s="67">
        <v>0.03</v>
      </c>
    </row>
    <row r="78" spans="1:255" ht="39" x14ac:dyDescent="0.2">
      <c r="A78" s="19" t="s">
        <v>788</v>
      </c>
      <c r="B78" s="19" t="s">
        <v>816</v>
      </c>
      <c r="C78" s="17" t="s">
        <v>192</v>
      </c>
      <c r="D78" s="17">
        <v>25</v>
      </c>
      <c r="E78" s="17">
        <v>38</v>
      </c>
      <c r="F78" s="17" t="s">
        <v>159</v>
      </c>
      <c r="G78" s="17">
        <v>30</v>
      </c>
      <c r="H78" s="17" t="s">
        <v>159</v>
      </c>
      <c r="I78" s="17">
        <v>20</v>
      </c>
      <c r="J78" s="20">
        <f t="shared" si="2"/>
        <v>2.2799999999999997E-2</v>
      </c>
      <c r="K78" s="40">
        <v>4.03</v>
      </c>
      <c r="L78" s="20">
        <v>0.14000000000000001</v>
      </c>
      <c r="M78" s="17">
        <v>6109909000</v>
      </c>
      <c r="N78" s="17" t="s">
        <v>6</v>
      </c>
      <c r="O78" s="65">
        <v>0.12</v>
      </c>
      <c r="P78" s="67">
        <v>0.03</v>
      </c>
    </row>
    <row r="79" spans="1:255" ht="39" x14ac:dyDescent="0.2">
      <c r="A79" s="19" t="s">
        <v>789</v>
      </c>
      <c r="B79" s="19" t="s">
        <v>817</v>
      </c>
      <c r="C79" s="17" t="s">
        <v>192</v>
      </c>
      <c r="D79" s="17">
        <v>25</v>
      </c>
      <c r="E79" s="17">
        <v>38</v>
      </c>
      <c r="F79" s="17" t="s">
        <v>159</v>
      </c>
      <c r="G79" s="17">
        <v>30</v>
      </c>
      <c r="H79" s="17" t="s">
        <v>159</v>
      </c>
      <c r="I79" s="17">
        <v>24</v>
      </c>
      <c r="J79" s="20">
        <f t="shared" si="2"/>
        <v>2.7359999999999999E-2</v>
      </c>
      <c r="K79" s="40">
        <v>4.87</v>
      </c>
      <c r="L79" s="20">
        <v>0.17</v>
      </c>
      <c r="M79" s="17">
        <v>6104630000</v>
      </c>
      <c r="N79" s="17" t="s">
        <v>6</v>
      </c>
      <c r="O79" s="65">
        <v>0.12</v>
      </c>
      <c r="P79" s="67">
        <v>0.03</v>
      </c>
    </row>
    <row r="80" spans="1:255" ht="39" x14ac:dyDescent="0.2">
      <c r="A80" s="19" t="s">
        <v>790</v>
      </c>
      <c r="B80" s="19" t="s">
        <v>818</v>
      </c>
      <c r="C80" s="17" t="s">
        <v>192</v>
      </c>
      <c r="D80" s="17">
        <v>25</v>
      </c>
      <c r="E80" s="17">
        <v>38</v>
      </c>
      <c r="F80" s="17" t="s">
        <v>159</v>
      </c>
      <c r="G80" s="17">
        <v>30</v>
      </c>
      <c r="H80" s="17" t="s">
        <v>159</v>
      </c>
      <c r="I80" s="17">
        <v>13</v>
      </c>
      <c r="J80" s="20">
        <f t="shared" ref="J80:J111" si="3">(E80*G80*I80)*0.000001</f>
        <v>1.482E-2</v>
      </c>
      <c r="K80" s="40">
        <v>3</v>
      </c>
      <c r="L80" s="20">
        <v>0.1</v>
      </c>
      <c r="M80" s="17">
        <v>6109909000</v>
      </c>
      <c r="N80" s="17" t="s">
        <v>6</v>
      </c>
      <c r="O80" s="65">
        <v>0.12</v>
      </c>
      <c r="P80" s="67">
        <v>0.03</v>
      </c>
    </row>
    <row r="81" spans="1:255" ht="39" x14ac:dyDescent="0.2">
      <c r="A81" s="19" t="s">
        <v>791</v>
      </c>
      <c r="B81" s="19" t="s">
        <v>819</v>
      </c>
      <c r="C81" s="17" t="s">
        <v>192</v>
      </c>
      <c r="D81" s="17">
        <v>25</v>
      </c>
      <c r="E81" s="17">
        <v>38</v>
      </c>
      <c r="F81" s="17" t="s">
        <v>159</v>
      </c>
      <c r="G81" s="17">
        <v>30</v>
      </c>
      <c r="H81" s="17" t="s">
        <v>159</v>
      </c>
      <c r="I81" s="17">
        <v>28</v>
      </c>
      <c r="J81" s="20">
        <f t="shared" si="3"/>
        <v>3.1919999999999997E-2</v>
      </c>
      <c r="K81" s="40">
        <v>7.2</v>
      </c>
      <c r="L81" s="20">
        <v>0.26400000000000001</v>
      </c>
      <c r="M81" s="17">
        <v>6104630000</v>
      </c>
      <c r="N81" s="17" t="s">
        <v>6</v>
      </c>
      <c r="O81" s="65">
        <v>0.12</v>
      </c>
      <c r="P81" s="67">
        <v>0.03</v>
      </c>
    </row>
    <row r="82" spans="1:255" x14ac:dyDescent="0.2">
      <c r="A82" s="19" t="s">
        <v>1001</v>
      </c>
      <c r="B82" s="19" t="s">
        <v>1021</v>
      </c>
      <c r="C82" s="17" t="s">
        <v>23</v>
      </c>
      <c r="D82" s="112">
        <v>15</v>
      </c>
      <c r="E82" s="112">
        <v>60</v>
      </c>
      <c r="F82" s="112" t="s">
        <v>159</v>
      </c>
      <c r="G82" s="112">
        <v>40</v>
      </c>
      <c r="H82" s="112" t="s">
        <v>159</v>
      </c>
      <c r="I82" s="112">
        <v>15</v>
      </c>
      <c r="J82" s="113">
        <f t="shared" si="3"/>
        <v>3.5999999999999997E-2</v>
      </c>
      <c r="K82" s="114">
        <v>6</v>
      </c>
      <c r="L82" s="113">
        <f>4.9/15</f>
        <v>0.32666666666666672</v>
      </c>
      <c r="M82" s="17">
        <v>6103430000</v>
      </c>
      <c r="N82" s="17" t="s">
        <v>108</v>
      </c>
      <c r="O82" s="65"/>
      <c r="P82" s="67"/>
    </row>
    <row r="83" spans="1:255" x14ac:dyDescent="0.2">
      <c r="A83" s="19" t="s">
        <v>1002</v>
      </c>
      <c r="B83" s="19" t="s">
        <v>1003</v>
      </c>
      <c r="C83" s="118" t="s">
        <v>29</v>
      </c>
      <c r="D83" s="118">
        <v>15</v>
      </c>
      <c r="E83" s="118">
        <v>60</v>
      </c>
      <c r="F83" s="118" t="s">
        <v>159</v>
      </c>
      <c r="G83" s="118">
        <v>40</v>
      </c>
      <c r="H83" s="118" t="s">
        <v>159</v>
      </c>
      <c r="I83" s="118">
        <v>15</v>
      </c>
      <c r="J83" s="119">
        <f t="shared" si="3"/>
        <v>3.5999999999999997E-2</v>
      </c>
      <c r="K83" s="120">
        <v>5.2</v>
      </c>
      <c r="L83" s="119">
        <f>4.2/15</f>
        <v>0.28000000000000003</v>
      </c>
      <c r="M83" s="121">
        <v>6109909000</v>
      </c>
      <c r="N83" s="17" t="s">
        <v>108</v>
      </c>
      <c r="O83" s="65"/>
      <c r="P83" s="67"/>
    </row>
    <row r="84" spans="1:255" x14ac:dyDescent="0.2">
      <c r="A84" s="19" t="s">
        <v>1004</v>
      </c>
      <c r="B84" s="19" t="s">
        <v>1005</v>
      </c>
      <c r="C84" s="17" t="s">
        <v>23</v>
      </c>
      <c r="D84" s="118">
        <v>15</v>
      </c>
      <c r="E84" s="118">
        <v>60</v>
      </c>
      <c r="F84" s="118" t="s">
        <v>159</v>
      </c>
      <c r="G84" s="118">
        <v>40</v>
      </c>
      <c r="H84" s="118" t="s">
        <v>159</v>
      </c>
      <c r="I84" s="118">
        <v>14</v>
      </c>
      <c r="J84" s="119">
        <f t="shared" si="3"/>
        <v>3.3599999999999998E-2</v>
      </c>
      <c r="K84" s="120">
        <v>4.5</v>
      </c>
      <c r="L84" s="119">
        <f>3.5/15</f>
        <v>0.23333333333333334</v>
      </c>
      <c r="M84" s="17">
        <v>6104330000</v>
      </c>
      <c r="N84" s="17" t="s">
        <v>108</v>
      </c>
      <c r="O84" s="65"/>
      <c r="P84" s="67"/>
    </row>
    <row r="85" spans="1:255" s="32" customFormat="1" x14ac:dyDescent="0.2">
      <c r="A85" s="19" t="s">
        <v>792</v>
      </c>
      <c r="B85" s="19" t="s">
        <v>820</v>
      </c>
      <c r="C85" s="17" t="s">
        <v>390</v>
      </c>
      <c r="D85" s="17">
        <v>25</v>
      </c>
      <c r="E85" s="17">
        <v>38</v>
      </c>
      <c r="F85" s="17" t="s">
        <v>159</v>
      </c>
      <c r="G85" s="17">
        <v>30</v>
      </c>
      <c r="H85" s="17" t="s">
        <v>159</v>
      </c>
      <c r="I85" s="17">
        <v>30</v>
      </c>
      <c r="J85" s="20">
        <f t="shared" si="3"/>
        <v>3.4200000000000001E-2</v>
      </c>
      <c r="K85" s="40">
        <v>4.5</v>
      </c>
      <c r="L85" s="20">
        <v>0.16</v>
      </c>
      <c r="M85" s="17">
        <v>6109909000</v>
      </c>
      <c r="N85" s="17" t="s">
        <v>6</v>
      </c>
      <c r="O85" s="76">
        <v>0.12</v>
      </c>
      <c r="P85" s="77">
        <v>0.03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19" t="s">
        <v>793</v>
      </c>
      <c r="B86" s="19" t="s">
        <v>821</v>
      </c>
      <c r="C86" s="17" t="s">
        <v>390</v>
      </c>
      <c r="D86" s="17">
        <v>25</v>
      </c>
      <c r="E86" s="17">
        <v>38</v>
      </c>
      <c r="F86" s="17" t="s">
        <v>159</v>
      </c>
      <c r="G86" s="17">
        <v>30</v>
      </c>
      <c r="H86" s="17" t="s">
        <v>159</v>
      </c>
      <c r="I86" s="17">
        <v>30</v>
      </c>
      <c r="J86" s="20">
        <f t="shared" si="3"/>
        <v>3.4200000000000001E-2</v>
      </c>
      <c r="K86" s="40">
        <v>5.76</v>
      </c>
      <c r="L86" s="20">
        <v>0.20699999999999999</v>
      </c>
      <c r="M86" s="17">
        <v>6103430000</v>
      </c>
      <c r="N86" s="17" t="s">
        <v>6</v>
      </c>
      <c r="O86" s="65">
        <v>0.12</v>
      </c>
      <c r="P86" s="67">
        <v>0.03</v>
      </c>
    </row>
    <row r="87" spans="1:255" ht="39" x14ac:dyDescent="0.2">
      <c r="A87" s="19" t="s">
        <v>901</v>
      </c>
      <c r="B87" s="19" t="s">
        <v>902</v>
      </c>
      <c r="C87" s="17" t="s">
        <v>192</v>
      </c>
      <c r="D87" s="17">
        <v>50</v>
      </c>
      <c r="E87" s="17">
        <v>56</v>
      </c>
      <c r="F87" s="17" t="s">
        <v>159</v>
      </c>
      <c r="G87" s="17">
        <v>38</v>
      </c>
      <c r="H87" s="17" t="s">
        <v>159</v>
      </c>
      <c r="I87" s="17">
        <v>20</v>
      </c>
      <c r="J87" s="20">
        <f t="shared" si="3"/>
        <v>4.2560000000000001E-2</v>
      </c>
      <c r="K87" s="40">
        <v>8.8000000000000007</v>
      </c>
      <c r="L87" s="20">
        <v>0.17599999999999999</v>
      </c>
      <c r="M87" s="17">
        <v>6109909000</v>
      </c>
      <c r="N87" s="17" t="s">
        <v>6</v>
      </c>
      <c r="O87" s="65">
        <v>0.12</v>
      </c>
      <c r="P87" s="67">
        <v>0.03</v>
      </c>
    </row>
    <row r="88" spans="1:255" ht="39" x14ac:dyDescent="0.2">
      <c r="A88" s="19" t="s">
        <v>903</v>
      </c>
      <c r="B88" s="19" t="s">
        <v>904</v>
      </c>
      <c r="C88" s="17" t="s">
        <v>192</v>
      </c>
      <c r="D88" s="17">
        <v>50</v>
      </c>
      <c r="E88" s="17">
        <v>56</v>
      </c>
      <c r="F88" s="17" t="s">
        <v>159</v>
      </c>
      <c r="G88" s="17">
        <v>38</v>
      </c>
      <c r="H88" s="17" t="s">
        <v>159</v>
      </c>
      <c r="I88" s="17">
        <v>20</v>
      </c>
      <c r="J88" s="20">
        <f t="shared" si="3"/>
        <v>4.2560000000000001E-2</v>
      </c>
      <c r="K88" s="40">
        <v>6.8</v>
      </c>
      <c r="L88" s="20">
        <v>0.13600000000000001</v>
      </c>
      <c r="M88" s="17">
        <v>6109909000</v>
      </c>
      <c r="N88" s="17" t="s">
        <v>6</v>
      </c>
      <c r="O88" s="65">
        <v>0.12</v>
      </c>
      <c r="P88" s="67">
        <v>0.03</v>
      </c>
    </row>
    <row r="89" spans="1:255" ht="39" x14ac:dyDescent="0.2">
      <c r="A89" s="19" t="s">
        <v>905</v>
      </c>
      <c r="B89" s="19" t="s">
        <v>906</v>
      </c>
      <c r="C89" s="17" t="s">
        <v>192</v>
      </c>
      <c r="D89" s="17">
        <v>50</v>
      </c>
      <c r="E89" s="17">
        <v>50</v>
      </c>
      <c r="F89" s="17" t="s">
        <v>159</v>
      </c>
      <c r="G89" s="17">
        <v>36</v>
      </c>
      <c r="H89" s="17" t="s">
        <v>159</v>
      </c>
      <c r="I89" s="17">
        <v>16</v>
      </c>
      <c r="J89" s="20">
        <f t="shared" si="3"/>
        <v>2.8799999999999999E-2</v>
      </c>
      <c r="K89" s="40">
        <v>5.3</v>
      </c>
      <c r="L89" s="20">
        <v>9.6000000000000002E-2</v>
      </c>
      <c r="M89" s="17">
        <v>6109909000</v>
      </c>
      <c r="N89" s="17" t="s">
        <v>6</v>
      </c>
      <c r="O89" s="65">
        <v>0.12</v>
      </c>
      <c r="P89" s="67">
        <v>0.03</v>
      </c>
    </row>
    <row r="90" spans="1:255" ht="39" x14ac:dyDescent="0.2">
      <c r="A90" s="19" t="s">
        <v>907</v>
      </c>
      <c r="B90" s="19" t="s">
        <v>908</v>
      </c>
      <c r="C90" s="17" t="s">
        <v>192</v>
      </c>
      <c r="D90" s="17">
        <v>50</v>
      </c>
      <c r="E90" s="17">
        <v>50</v>
      </c>
      <c r="F90" s="17" t="s">
        <v>159</v>
      </c>
      <c r="G90" s="17">
        <v>36</v>
      </c>
      <c r="H90" s="17" t="s">
        <v>159</v>
      </c>
      <c r="I90" s="17">
        <v>16</v>
      </c>
      <c r="J90" s="20">
        <f t="shared" si="3"/>
        <v>2.8799999999999999E-2</v>
      </c>
      <c r="K90" s="40">
        <v>5.8</v>
      </c>
      <c r="L90" s="20">
        <v>0.106</v>
      </c>
      <c r="M90" s="17">
        <v>6104630000</v>
      </c>
      <c r="N90" s="17" t="s">
        <v>6</v>
      </c>
      <c r="O90" s="65">
        <v>0.12</v>
      </c>
      <c r="P90" s="67">
        <v>0.03</v>
      </c>
    </row>
    <row r="91" spans="1:255" ht="39" x14ac:dyDescent="0.2">
      <c r="A91" s="19" t="s">
        <v>909</v>
      </c>
      <c r="B91" s="19" t="s">
        <v>910</v>
      </c>
      <c r="C91" s="17" t="s">
        <v>192</v>
      </c>
      <c r="D91" s="17">
        <v>50</v>
      </c>
      <c r="E91" s="17">
        <v>56</v>
      </c>
      <c r="F91" s="17" t="s">
        <v>159</v>
      </c>
      <c r="G91" s="17">
        <v>38</v>
      </c>
      <c r="H91" s="17" t="s">
        <v>159</v>
      </c>
      <c r="I91" s="17">
        <v>20</v>
      </c>
      <c r="J91" s="20">
        <f t="shared" si="3"/>
        <v>4.2560000000000001E-2</v>
      </c>
      <c r="K91" s="40">
        <v>8</v>
      </c>
      <c r="L91" s="20">
        <v>0.15</v>
      </c>
      <c r="M91" s="17">
        <v>6104630000</v>
      </c>
      <c r="N91" s="17" t="s">
        <v>6</v>
      </c>
      <c r="O91" s="65">
        <v>0.12</v>
      </c>
      <c r="P91" s="67">
        <v>0.03</v>
      </c>
    </row>
    <row r="92" spans="1:255" x14ac:dyDescent="0.2">
      <c r="A92" s="19" t="s">
        <v>911</v>
      </c>
      <c r="B92" s="19" t="s">
        <v>912</v>
      </c>
      <c r="C92" s="17" t="s">
        <v>7</v>
      </c>
      <c r="D92" s="17">
        <v>50</v>
      </c>
      <c r="E92" s="17">
        <v>56</v>
      </c>
      <c r="F92" s="17" t="s">
        <v>159</v>
      </c>
      <c r="G92" s="17">
        <v>38</v>
      </c>
      <c r="H92" s="17" t="s">
        <v>159</v>
      </c>
      <c r="I92" s="17">
        <v>20</v>
      </c>
      <c r="J92" s="20">
        <f t="shared" si="3"/>
        <v>4.2560000000000001E-2</v>
      </c>
      <c r="K92" s="40">
        <v>7.8</v>
      </c>
      <c r="L92" s="20">
        <v>0.14599999999999999</v>
      </c>
      <c r="M92" s="17">
        <v>6109909000</v>
      </c>
      <c r="N92" s="17" t="s">
        <v>6</v>
      </c>
      <c r="O92" s="65">
        <v>0.12</v>
      </c>
      <c r="P92" s="67">
        <v>0.03</v>
      </c>
    </row>
    <row r="93" spans="1:255" x14ac:dyDescent="0.2">
      <c r="A93" s="197" t="s">
        <v>958</v>
      </c>
      <c r="B93" s="197" t="s">
        <v>959</v>
      </c>
      <c r="C93" s="17" t="s">
        <v>963</v>
      </c>
      <c r="D93" s="188">
        <v>100</v>
      </c>
      <c r="E93" s="188">
        <v>60</v>
      </c>
      <c r="F93" s="188" t="s">
        <v>159</v>
      </c>
      <c r="G93" s="188">
        <v>40</v>
      </c>
      <c r="H93" s="188" t="s">
        <v>159</v>
      </c>
      <c r="I93" s="188">
        <v>35</v>
      </c>
      <c r="J93" s="191">
        <f>(E93*G93*I93)*0.000001</f>
        <v>8.3999999999999991E-2</v>
      </c>
      <c r="K93" s="40">
        <v>11.6</v>
      </c>
      <c r="L93" s="20">
        <v>0.104</v>
      </c>
      <c r="M93" s="188">
        <v>6109909000</v>
      </c>
      <c r="N93" s="188" t="s">
        <v>108</v>
      </c>
      <c r="O93" s="65"/>
      <c r="P93" s="67"/>
    </row>
    <row r="94" spans="1:255" x14ac:dyDescent="0.2">
      <c r="A94" s="204"/>
      <c r="B94" s="204"/>
      <c r="C94" s="17" t="s">
        <v>166</v>
      </c>
      <c r="D94" s="194"/>
      <c r="E94" s="194"/>
      <c r="F94" s="194"/>
      <c r="G94" s="194"/>
      <c r="H94" s="194"/>
      <c r="I94" s="194"/>
      <c r="J94" s="193"/>
      <c r="K94" s="93">
        <v>13.7</v>
      </c>
      <c r="L94" s="20">
        <v>0.122</v>
      </c>
      <c r="M94" s="194"/>
      <c r="N94" s="194"/>
      <c r="O94" s="65"/>
      <c r="P94" s="67"/>
    </row>
    <row r="95" spans="1:255" x14ac:dyDescent="0.2">
      <c r="A95" s="204"/>
      <c r="B95" s="204"/>
      <c r="C95" s="17" t="s">
        <v>162</v>
      </c>
      <c r="D95" s="189"/>
      <c r="E95" s="189"/>
      <c r="F95" s="189"/>
      <c r="G95" s="189"/>
      <c r="H95" s="189"/>
      <c r="I95" s="189"/>
      <c r="J95" s="192"/>
      <c r="K95" s="93">
        <v>16.329999999999998</v>
      </c>
      <c r="L95" s="20">
        <v>0.14799999999999999</v>
      </c>
      <c r="M95" s="194"/>
      <c r="N95" s="194"/>
      <c r="O95" s="65"/>
      <c r="P95" s="67"/>
    </row>
    <row r="96" spans="1:255" x14ac:dyDescent="0.2">
      <c r="A96" s="204"/>
      <c r="B96" s="204"/>
      <c r="C96" s="17" t="s">
        <v>576</v>
      </c>
      <c r="D96" s="188">
        <v>50</v>
      </c>
      <c r="E96" s="17">
        <v>60</v>
      </c>
      <c r="F96" s="17" t="s">
        <v>159</v>
      </c>
      <c r="G96" s="17">
        <v>40</v>
      </c>
      <c r="H96" s="17" t="s">
        <v>159</v>
      </c>
      <c r="I96" s="17">
        <v>20</v>
      </c>
      <c r="J96" s="20">
        <f t="shared" si="3"/>
        <v>4.8000000000000001E-2</v>
      </c>
      <c r="K96" s="93">
        <v>10.7</v>
      </c>
      <c r="L96" s="20">
        <f>9.35/50</f>
        <v>0.187</v>
      </c>
      <c r="M96" s="194"/>
      <c r="N96" s="194"/>
      <c r="O96" s="65"/>
      <c r="P96" s="67"/>
    </row>
    <row r="97" spans="1:255" ht="39" x14ac:dyDescent="0.2">
      <c r="A97" s="198"/>
      <c r="B97" s="198"/>
      <c r="C97" s="17" t="s">
        <v>962</v>
      </c>
      <c r="D97" s="189"/>
      <c r="E97" s="17">
        <v>60</v>
      </c>
      <c r="F97" s="17" t="s">
        <v>159</v>
      </c>
      <c r="G97" s="17">
        <v>40</v>
      </c>
      <c r="H97" s="17" t="s">
        <v>159</v>
      </c>
      <c r="I97" s="17">
        <v>25</v>
      </c>
      <c r="J97" s="20">
        <f t="shared" si="3"/>
        <v>0.06</v>
      </c>
      <c r="K97" s="40">
        <v>11.1</v>
      </c>
      <c r="L97" s="20">
        <f>9.75/50</f>
        <v>0.19500000000000001</v>
      </c>
      <c r="M97" s="189"/>
      <c r="N97" s="189"/>
      <c r="O97" s="65"/>
      <c r="P97" s="67"/>
    </row>
    <row r="98" spans="1:255" x14ac:dyDescent="0.2">
      <c r="A98" s="197" t="s">
        <v>1006</v>
      </c>
      <c r="B98" s="197" t="s">
        <v>1007</v>
      </c>
      <c r="C98" s="17" t="s">
        <v>175</v>
      </c>
      <c r="D98" s="188">
        <v>50</v>
      </c>
      <c r="E98" s="112">
        <v>60</v>
      </c>
      <c r="F98" s="112" t="s">
        <v>159</v>
      </c>
      <c r="G98" s="112">
        <v>40</v>
      </c>
      <c r="H98" s="112" t="s">
        <v>159</v>
      </c>
      <c r="I98" s="112">
        <v>12</v>
      </c>
      <c r="J98" s="113">
        <f t="shared" si="3"/>
        <v>2.8799999999999999E-2</v>
      </c>
      <c r="K98" s="249">
        <v>8</v>
      </c>
      <c r="L98" s="191">
        <f>5.6/50</f>
        <v>0.11199999999999999</v>
      </c>
      <c r="M98" s="188">
        <v>6109909000</v>
      </c>
      <c r="N98" s="188" t="s">
        <v>108</v>
      </c>
      <c r="O98" s="65"/>
      <c r="P98" s="67"/>
    </row>
    <row r="99" spans="1:255" x14ac:dyDescent="0.2">
      <c r="A99" s="198"/>
      <c r="B99" s="198"/>
      <c r="C99" s="112" t="s">
        <v>374</v>
      </c>
      <c r="D99" s="189"/>
      <c r="E99" s="112">
        <v>60</v>
      </c>
      <c r="F99" s="112" t="s">
        <v>159</v>
      </c>
      <c r="G99" s="112">
        <v>40</v>
      </c>
      <c r="H99" s="112" t="s">
        <v>159</v>
      </c>
      <c r="I99" s="112">
        <v>15</v>
      </c>
      <c r="J99" s="113">
        <f t="shared" si="3"/>
        <v>3.5999999999999997E-2</v>
      </c>
      <c r="K99" s="250"/>
      <c r="L99" s="192"/>
      <c r="M99" s="189"/>
      <c r="N99" s="189"/>
      <c r="O99" s="65"/>
      <c r="P99" s="67"/>
    </row>
    <row r="100" spans="1:255" s="32" customFormat="1" x14ac:dyDescent="0.2">
      <c r="A100" s="197" t="s">
        <v>972</v>
      </c>
      <c r="B100" s="197" t="s">
        <v>1016</v>
      </c>
      <c r="C100" s="17" t="s">
        <v>857</v>
      </c>
      <c r="D100" s="47">
        <v>25</v>
      </c>
      <c r="E100" s="17">
        <v>60</v>
      </c>
      <c r="F100" s="17"/>
      <c r="G100" s="17">
        <v>40</v>
      </c>
      <c r="H100" s="17"/>
      <c r="I100" s="17">
        <v>12</v>
      </c>
      <c r="J100" s="20">
        <f t="shared" si="3"/>
        <v>2.8799999999999999E-2</v>
      </c>
      <c r="K100" s="40">
        <v>4.3</v>
      </c>
      <c r="L100" s="20">
        <f>3.2/25</f>
        <v>0.128</v>
      </c>
      <c r="M100" s="188">
        <v>6105909000</v>
      </c>
      <c r="N100" s="188" t="s">
        <v>108</v>
      </c>
      <c r="O100" s="76"/>
      <c r="P100" s="77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s="32" customFormat="1" x14ac:dyDescent="0.2">
      <c r="A101" s="204"/>
      <c r="B101" s="204"/>
      <c r="C101" s="17" t="s">
        <v>163</v>
      </c>
      <c r="D101" s="188">
        <v>50</v>
      </c>
      <c r="E101" s="17">
        <v>60</v>
      </c>
      <c r="F101" s="17" t="s">
        <v>159</v>
      </c>
      <c r="G101" s="17">
        <v>40</v>
      </c>
      <c r="H101" s="17" t="s">
        <v>159</v>
      </c>
      <c r="I101" s="17">
        <v>23</v>
      </c>
      <c r="J101" s="20">
        <f t="shared" si="3"/>
        <v>5.5199999999999999E-2</v>
      </c>
      <c r="K101" s="40">
        <v>8.9</v>
      </c>
      <c r="L101" s="20">
        <f>7.4/50</f>
        <v>0.14800000000000002</v>
      </c>
      <c r="M101" s="194"/>
      <c r="N101" s="194"/>
      <c r="O101" s="76"/>
      <c r="P101" s="77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s="32" customFormat="1" x14ac:dyDescent="0.2">
      <c r="A102" s="204"/>
      <c r="B102" s="204"/>
      <c r="C102" s="17" t="s">
        <v>162</v>
      </c>
      <c r="D102" s="189"/>
      <c r="E102" s="17">
        <v>60</v>
      </c>
      <c r="F102" s="17" t="s">
        <v>159</v>
      </c>
      <c r="G102" s="17">
        <v>40</v>
      </c>
      <c r="H102" s="17" t="s">
        <v>159</v>
      </c>
      <c r="I102" s="17">
        <v>25</v>
      </c>
      <c r="J102" s="20">
        <f t="shared" si="3"/>
        <v>0.06</v>
      </c>
      <c r="K102" s="40">
        <v>10.8</v>
      </c>
      <c r="L102" s="20">
        <f>9.3/50</f>
        <v>0.18600000000000003</v>
      </c>
      <c r="M102" s="194"/>
      <c r="N102" s="194"/>
      <c r="O102" s="76"/>
      <c r="P102" s="77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s="32" customFormat="1" ht="39" x14ac:dyDescent="0.2">
      <c r="A103" s="198"/>
      <c r="B103" s="198"/>
      <c r="C103" s="17" t="s">
        <v>489</v>
      </c>
      <c r="D103" s="47">
        <v>25</v>
      </c>
      <c r="E103" s="17">
        <v>60</v>
      </c>
      <c r="F103" s="17" t="s">
        <v>159</v>
      </c>
      <c r="G103" s="17">
        <v>40</v>
      </c>
      <c r="H103" s="17" t="s">
        <v>159</v>
      </c>
      <c r="I103" s="17">
        <v>15</v>
      </c>
      <c r="J103" s="20">
        <f t="shared" si="3"/>
        <v>3.5999999999999997E-2</v>
      </c>
      <c r="K103" s="40">
        <v>8.9</v>
      </c>
      <c r="L103" s="20">
        <f>7.4/25</f>
        <v>0.29600000000000004</v>
      </c>
      <c r="M103" s="189"/>
      <c r="N103" s="189"/>
      <c r="O103" s="76"/>
      <c r="P103" s="77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19" t="s">
        <v>913</v>
      </c>
      <c r="B104" s="19" t="s">
        <v>914</v>
      </c>
      <c r="C104" s="17" t="s">
        <v>8</v>
      </c>
      <c r="D104" s="17">
        <v>50</v>
      </c>
      <c r="E104" s="17">
        <v>38</v>
      </c>
      <c r="F104" s="17" t="s">
        <v>159</v>
      </c>
      <c r="G104" s="17">
        <v>28</v>
      </c>
      <c r="H104" s="17" t="s">
        <v>159</v>
      </c>
      <c r="I104" s="17">
        <v>18.5</v>
      </c>
      <c r="J104" s="20">
        <f t="shared" si="3"/>
        <v>1.9684E-2</v>
      </c>
      <c r="K104" s="40">
        <v>3.35</v>
      </c>
      <c r="L104" s="20">
        <v>7.0000000000000007E-2</v>
      </c>
      <c r="M104" s="17">
        <v>61151010000</v>
      </c>
      <c r="N104" s="17" t="s">
        <v>6</v>
      </c>
      <c r="O104" s="65">
        <v>0.12</v>
      </c>
      <c r="P104" s="67">
        <v>0.03</v>
      </c>
    </row>
    <row r="105" spans="1:255" x14ac:dyDescent="0.2">
      <c r="A105" s="19" t="s">
        <v>915</v>
      </c>
      <c r="B105" s="19" t="s">
        <v>916</v>
      </c>
      <c r="C105" s="17" t="s">
        <v>8</v>
      </c>
      <c r="D105" s="17">
        <v>50</v>
      </c>
      <c r="E105" s="17">
        <v>44</v>
      </c>
      <c r="F105" s="17" t="s">
        <v>159</v>
      </c>
      <c r="G105" s="17">
        <v>26</v>
      </c>
      <c r="H105" s="17" t="s">
        <v>159</v>
      </c>
      <c r="I105" s="17">
        <v>16</v>
      </c>
      <c r="J105" s="20">
        <f t="shared" si="3"/>
        <v>1.8304000000000001E-2</v>
      </c>
      <c r="K105" s="40">
        <v>3.45</v>
      </c>
      <c r="L105" s="20">
        <v>7.0000000000000007E-2</v>
      </c>
      <c r="M105" s="17">
        <v>61151010000</v>
      </c>
      <c r="N105" s="17" t="s">
        <v>6</v>
      </c>
      <c r="O105" s="65">
        <v>0.12</v>
      </c>
      <c r="P105" s="67">
        <v>0.03</v>
      </c>
    </row>
    <row r="106" spans="1:255" x14ac:dyDescent="0.2">
      <c r="A106" s="19" t="s">
        <v>917</v>
      </c>
      <c r="B106" s="19" t="s">
        <v>918</v>
      </c>
      <c r="C106" s="17" t="s">
        <v>8</v>
      </c>
      <c r="D106" s="17">
        <v>50</v>
      </c>
      <c r="E106" s="17">
        <v>40</v>
      </c>
      <c r="F106" s="17" t="s">
        <v>159</v>
      </c>
      <c r="G106" s="17">
        <v>35</v>
      </c>
      <c r="H106" s="17" t="s">
        <v>159</v>
      </c>
      <c r="I106" s="17">
        <v>20</v>
      </c>
      <c r="J106" s="20">
        <f t="shared" si="3"/>
        <v>2.7999999999999997E-2</v>
      </c>
      <c r="K106" s="40">
        <v>5.15</v>
      </c>
      <c r="L106" s="20">
        <v>0.1</v>
      </c>
      <c r="M106" s="17">
        <v>61151010000</v>
      </c>
      <c r="N106" s="17" t="s">
        <v>6</v>
      </c>
      <c r="O106" s="65">
        <v>0.12</v>
      </c>
      <c r="P106" s="67">
        <v>0.03</v>
      </c>
    </row>
    <row r="107" spans="1:255" ht="39" x14ac:dyDescent="0.2">
      <c r="A107" s="19" t="s">
        <v>975</v>
      </c>
      <c r="B107" s="19" t="s">
        <v>976</v>
      </c>
      <c r="C107" s="17" t="s">
        <v>5</v>
      </c>
      <c r="D107" s="101">
        <v>100</v>
      </c>
      <c r="E107" s="101">
        <v>60</v>
      </c>
      <c r="F107" s="101" t="s">
        <v>159</v>
      </c>
      <c r="G107" s="101">
        <v>40</v>
      </c>
      <c r="H107" s="101" t="s">
        <v>159</v>
      </c>
      <c r="I107" s="101">
        <v>45</v>
      </c>
      <c r="J107" s="102">
        <f t="shared" si="3"/>
        <v>0.108</v>
      </c>
      <c r="K107" s="103">
        <v>13.19</v>
      </c>
      <c r="L107" s="102">
        <f>9.65/100</f>
        <v>9.6500000000000002E-2</v>
      </c>
      <c r="M107" s="17">
        <v>6115969900</v>
      </c>
      <c r="N107" s="17" t="s">
        <v>6</v>
      </c>
    </row>
    <row r="108" spans="1:255" x14ac:dyDescent="0.2">
      <c r="A108" s="197" t="s">
        <v>973</v>
      </c>
      <c r="B108" s="197" t="s">
        <v>1017</v>
      </c>
      <c r="C108" s="17" t="s">
        <v>528</v>
      </c>
      <c r="D108" s="188">
        <v>100</v>
      </c>
      <c r="E108" s="101">
        <v>60</v>
      </c>
      <c r="F108" s="101" t="s">
        <v>159</v>
      </c>
      <c r="G108" s="101">
        <v>40</v>
      </c>
      <c r="H108" s="101" t="s">
        <v>159</v>
      </c>
      <c r="I108" s="101">
        <v>23</v>
      </c>
      <c r="J108" s="102">
        <f t="shared" si="3"/>
        <v>5.5199999999999999E-2</v>
      </c>
      <c r="K108" s="103">
        <v>8.1</v>
      </c>
      <c r="L108" s="102">
        <f>4.76/100</f>
        <v>4.7599999999999996E-2</v>
      </c>
      <c r="M108" s="188">
        <v>6115969900</v>
      </c>
      <c r="N108" s="188" t="s">
        <v>6</v>
      </c>
    </row>
    <row r="109" spans="1:255" x14ac:dyDescent="0.2">
      <c r="A109" s="198"/>
      <c r="B109" s="198"/>
      <c r="C109" s="101" t="s">
        <v>1008</v>
      </c>
      <c r="D109" s="189"/>
      <c r="E109" s="101">
        <v>60</v>
      </c>
      <c r="F109" s="101" t="s">
        <v>159</v>
      </c>
      <c r="G109" s="101">
        <v>40</v>
      </c>
      <c r="H109" s="101" t="s">
        <v>159</v>
      </c>
      <c r="I109" s="101">
        <v>25</v>
      </c>
      <c r="J109" s="102">
        <f t="shared" si="3"/>
        <v>0.06</v>
      </c>
      <c r="K109" s="103">
        <v>8.75</v>
      </c>
      <c r="L109" s="102">
        <f>5.4/100</f>
        <v>5.4000000000000006E-2</v>
      </c>
      <c r="M109" s="189"/>
      <c r="N109" s="189"/>
    </row>
    <row r="110" spans="1:255" x14ac:dyDescent="0.2">
      <c r="A110" s="213" t="s">
        <v>974</v>
      </c>
      <c r="B110" s="213" t="s">
        <v>1018</v>
      </c>
      <c r="C110" s="101" t="s">
        <v>528</v>
      </c>
      <c r="D110" s="188">
        <v>100</v>
      </c>
      <c r="E110" s="101">
        <v>60</v>
      </c>
      <c r="F110" s="101" t="s">
        <v>159</v>
      </c>
      <c r="G110" s="101">
        <v>40</v>
      </c>
      <c r="H110" s="101" t="s">
        <v>159</v>
      </c>
      <c r="I110" s="101">
        <v>40</v>
      </c>
      <c r="J110" s="102">
        <f t="shared" si="3"/>
        <v>9.6000000000000002E-2</v>
      </c>
      <c r="K110" s="103">
        <v>13.6</v>
      </c>
      <c r="L110" s="102">
        <f>10.07/100</f>
        <v>0.1007</v>
      </c>
      <c r="M110" s="188">
        <v>6115969900</v>
      </c>
      <c r="N110" s="188" t="s">
        <v>6</v>
      </c>
    </row>
    <row r="111" spans="1:255" x14ac:dyDescent="0.2">
      <c r="A111" s="213"/>
      <c r="B111" s="213"/>
      <c r="C111" s="100" t="s">
        <v>527</v>
      </c>
      <c r="D111" s="189"/>
      <c r="E111" s="101">
        <v>60</v>
      </c>
      <c r="F111" s="101" t="s">
        <v>159</v>
      </c>
      <c r="G111" s="101">
        <v>40</v>
      </c>
      <c r="H111" s="101" t="s">
        <v>159</v>
      </c>
      <c r="I111" s="101">
        <v>55</v>
      </c>
      <c r="J111" s="102">
        <f t="shared" si="3"/>
        <v>0.13200000000000001</v>
      </c>
      <c r="K111" s="103">
        <v>14.78</v>
      </c>
      <c r="L111" s="102">
        <f>11.44/100</f>
        <v>0.1144</v>
      </c>
      <c r="M111" s="189"/>
      <c r="N111" s="189"/>
    </row>
  </sheetData>
  <mergeCells count="79">
    <mergeCell ref="M98:M99"/>
    <mergeCell ref="N98:N99"/>
    <mergeCell ref="A98:A99"/>
    <mergeCell ref="B98:B99"/>
    <mergeCell ref="D98:D99"/>
    <mergeCell ref="K98:K99"/>
    <mergeCell ref="L98:L99"/>
    <mergeCell ref="B108:B109"/>
    <mergeCell ref="A108:A109"/>
    <mergeCell ref="M108:M109"/>
    <mergeCell ref="N108:N109"/>
    <mergeCell ref="A110:A111"/>
    <mergeCell ref="B110:B111"/>
    <mergeCell ref="D110:D111"/>
    <mergeCell ref="M110:M111"/>
    <mergeCell ref="N110:N111"/>
    <mergeCell ref="E93:E95"/>
    <mergeCell ref="G93:G95"/>
    <mergeCell ref="I93:I95"/>
    <mergeCell ref="F93:F95"/>
    <mergeCell ref="D108:D109"/>
    <mergeCell ref="L21:L22"/>
    <mergeCell ref="M21:M22"/>
    <mergeCell ref="N21:N22"/>
    <mergeCell ref="A58:A59"/>
    <mergeCell ref="B58:B59"/>
    <mergeCell ref="M58:M59"/>
    <mergeCell ref="N58:N59"/>
    <mergeCell ref="K21:K22"/>
    <mergeCell ref="D21:D22"/>
    <mergeCell ref="B21:B22"/>
    <mergeCell ref="A21:A22"/>
    <mergeCell ref="D36:D37"/>
    <mergeCell ref="A36:A37"/>
    <mergeCell ref="B36:B37"/>
    <mergeCell ref="K36:K37"/>
    <mergeCell ref="L36:L37"/>
    <mergeCell ref="A1:A2"/>
    <mergeCell ref="B1:B2"/>
    <mergeCell ref="K1:K2"/>
    <mergeCell ref="L1:L2"/>
    <mergeCell ref="M1:M2"/>
    <mergeCell ref="E1:I1"/>
    <mergeCell ref="O1:O2"/>
    <mergeCell ref="P1:P2"/>
    <mergeCell ref="N1:N2"/>
    <mergeCell ref="C1:C2"/>
    <mergeCell ref="D1:D2"/>
    <mergeCell ref="J1:J2"/>
    <mergeCell ref="A93:A97"/>
    <mergeCell ref="B68:B70"/>
    <mergeCell ref="M68:M70"/>
    <mergeCell ref="N68:N70"/>
    <mergeCell ref="A68:A70"/>
    <mergeCell ref="A71:A73"/>
    <mergeCell ref="B71:B73"/>
    <mergeCell ref="M71:M73"/>
    <mergeCell ref="N71:N73"/>
    <mergeCell ref="M93:M97"/>
    <mergeCell ref="H93:H95"/>
    <mergeCell ref="J93:J95"/>
    <mergeCell ref="D93:D95"/>
    <mergeCell ref="D96:D97"/>
    <mergeCell ref="B93:B97"/>
    <mergeCell ref="N93:N97"/>
    <mergeCell ref="A100:A103"/>
    <mergeCell ref="B100:B103"/>
    <mergeCell ref="N100:N103"/>
    <mergeCell ref="M100:M103"/>
    <mergeCell ref="D101:D102"/>
    <mergeCell ref="M36:M37"/>
    <mergeCell ref="N36:N37"/>
    <mergeCell ref="D38:D39"/>
    <mergeCell ref="B38:B39"/>
    <mergeCell ref="A38:A39"/>
    <mergeCell ref="K38:K39"/>
    <mergeCell ref="L38:L39"/>
    <mergeCell ref="M38:M39"/>
    <mergeCell ref="N38:N39"/>
  </mergeCells>
  <phoneticPr fontId="0" type="noConversion"/>
  <pageMargins left="0.23622047244094491" right="0.23622047244094491" top="0.39370078740157483" bottom="0.35433070866141736" header="0.15748031496062992" footer="0.15748031496062992"/>
  <pageSetup scale="76" orientation="landscape" r:id="rId1"/>
  <headerFooter alignWithMargins="0">
    <oddHeader>&amp;CSPIRO</oddHeader>
    <oddFooter>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9"/>
  <sheetViews>
    <sheetView zoomScale="80" zoomScaleNormal="80" workbookViewId="0">
      <pane ySplit="2" topLeftCell="A15" activePane="bottomLeft" state="frozen"/>
      <selection pane="bottomLeft" activeCell="B17" sqref="B17"/>
    </sheetView>
  </sheetViews>
  <sheetFormatPr defaultRowHeight="12.75" x14ac:dyDescent="0.2"/>
  <cols>
    <col min="1" max="1" width="13" customWidth="1"/>
    <col min="2" max="2" width="44.5703125" customWidth="1"/>
    <col min="3" max="3" width="8.85546875" customWidth="1"/>
    <col min="4" max="4" width="13.42578125" customWidth="1"/>
    <col min="5" max="5" width="7.28515625" customWidth="1"/>
    <col min="6" max="6" width="2.5703125" bestFit="1" customWidth="1"/>
    <col min="7" max="7" width="8" customWidth="1"/>
    <col min="8" max="8" width="2.5703125" bestFit="1" customWidth="1"/>
    <col min="9" max="9" width="6.85546875" customWidth="1"/>
    <col min="10" max="10" width="8.42578125" customWidth="1"/>
    <col min="11" max="11" width="11" customWidth="1"/>
    <col min="12" max="12" width="16.140625" customWidth="1"/>
    <col min="13" max="13" width="20.7109375" bestFit="1" customWidth="1"/>
    <col min="14" max="14" width="10.5703125" bestFit="1" customWidth="1"/>
  </cols>
  <sheetData>
    <row r="1" spans="1:15" s="34" customFormat="1" ht="19.5" x14ac:dyDescent="0.2">
      <c r="A1" s="222" t="s">
        <v>0</v>
      </c>
      <c r="B1" s="227" t="s">
        <v>1</v>
      </c>
      <c r="C1" s="226" t="s">
        <v>81</v>
      </c>
      <c r="D1" s="222" t="s">
        <v>2</v>
      </c>
      <c r="E1" s="222" t="s">
        <v>523</v>
      </c>
      <c r="F1" s="222"/>
      <c r="G1" s="222"/>
      <c r="H1" s="222"/>
      <c r="I1" s="222"/>
      <c r="J1" s="219" t="s">
        <v>82</v>
      </c>
      <c r="K1" s="219" t="s">
        <v>522</v>
      </c>
      <c r="L1" s="219" t="s">
        <v>1120</v>
      </c>
      <c r="M1" s="222" t="s">
        <v>3</v>
      </c>
      <c r="N1" s="222" t="s">
        <v>4</v>
      </c>
    </row>
    <row r="2" spans="1:15" s="34" customFormat="1" ht="34.5" customHeight="1" x14ac:dyDescent="0.2">
      <c r="A2" s="222"/>
      <c r="B2" s="227"/>
      <c r="C2" s="226"/>
      <c r="D2" s="222"/>
      <c r="E2" s="180" t="s">
        <v>155</v>
      </c>
      <c r="F2" s="180"/>
      <c r="G2" s="180" t="s">
        <v>157</v>
      </c>
      <c r="H2" s="180"/>
      <c r="I2" s="180" t="s">
        <v>156</v>
      </c>
      <c r="J2" s="219"/>
      <c r="K2" s="219"/>
      <c r="L2" s="219"/>
      <c r="M2" s="222"/>
      <c r="N2" s="222"/>
    </row>
    <row r="3" spans="1:15" s="3" customFormat="1" ht="58.5" x14ac:dyDescent="0.2">
      <c r="A3" s="181" t="s">
        <v>1111</v>
      </c>
      <c r="B3" s="181" t="s">
        <v>1113</v>
      </c>
      <c r="C3" s="265" t="s">
        <v>9</v>
      </c>
      <c r="D3" s="182" t="s">
        <v>1097</v>
      </c>
      <c r="E3" s="182">
        <v>67</v>
      </c>
      <c r="F3" s="182" t="s">
        <v>159</v>
      </c>
      <c r="G3" s="182">
        <v>37</v>
      </c>
      <c r="H3" s="182" t="s">
        <v>159</v>
      </c>
      <c r="I3" s="182">
        <v>32</v>
      </c>
      <c r="J3" s="183">
        <f>+E3*G3*I3/6000000</f>
        <v>1.3221333333333333E-2</v>
      </c>
      <c r="K3" s="183">
        <v>5.5</v>
      </c>
      <c r="L3" s="183">
        <f>4.5/10</f>
        <v>0.45</v>
      </c>
      <c r="M3" s="265">
        <v>6307909810</v>
      </c>
      <c r="N3" s="265" t="s">
        <v>6</v>
      </c>
    </row>
    <row r="4" spans="1:15" s="3" customFormat="1" ht="58.5" x14ac:dyDescent="0.2">
      <c r="A4" s="181" t="s">
        <v>1112</v>
      </c>
      <c r="B4" s="181" t="s">
        <v>1113</v>
      </c>
      <c r="C4" s="267"/>
      <c r="D4" s="182" t="s">
        <v>1105</v>
      </c>
      <c r="E4" s="182">
        <v>52</v>
      </c>
      <c r="F4" s="182" t="s">
        <v>159</v>
      </c>
      <c r="G4" s="182">
        <v>40</v>
      </c>
      <c r="H4" s="182" t="s">
        <v>159</v>
      </c>
      <c r="I4" s="182">
        <v>46</v>
      </c>
      <c r="J4" s="183">
        <f>+E4*G4*I4/6000000</f>
        <v>1.5946666666666668E-2</v>
      </c>
      <c r="K4" s="183">
        <v>8.3000000000000007</v>
      </c>
      <c r="L4" s="183">
        <f>+K4/60</f>
        <v>0.13833333333333334</v>
      </c>
      <c r="M4" s="267"/>
      <c r="N4" s="267"/>
      <c r="O4" s="3" t="s">
        <v>1132</v>
      </c>
    </row>
    <row r="5" spans="1:15" s="3" customFormat="1" ht="58.5" x14ac:dyDescent="0.2">
      <c r="A5" s="187" t="s">
        <v>1119</v>
      </c>
      <c r="B5" s="181" t="s">
        <v>1113</v>
      </c>
      <c r="C5" s="266"/>
      <c r="D5" s="182" t="s">
        <v>1097</v>
      </c>
      <c r="E5" s="182">
        <v>39.6</v>
      </c>
      <c r="F5" s="182" t="s">
        <v>159</v>
      </c>
      <c r="G5" s="182">
        <v>49.5</v>
      </c>
      <c r="H5" s="182" t="s">
        <v>159</v>
      </c>
      <c r="I5" s="182">
        <v>27.7</v>
      </c>
      <c r="J5" s="183">
        <f>+E5*G5*I5/6000000</f>
        <v>9.0495899999999997E-3</v>
      </c>
      <c r="K5" s="183" t="s">
        <v>826</v>
      </c>
      <c r="L5" s="183" t="s">
        <v>826</v>
      </c>
      <c r="M5" s="266"/>
      <c r="N5" s="266"/>
      <c r="O5" s="3" t="s">
        <v>1132</v>
      </c>
    </row>
    <row r="6" spans="1:15" s="3" customFormat="1" ht="19.5" x14ac:dyDescent="0.2">
      <c r="A6" s="263" t="s">
        <v>1121</v>
      </c>
      <c r="B6" s="263" t="s">
        <v>1094</v>
      </c>
      <c r="C6" s="182" t="s">
        <v>1099</v>
      </c>
      <c r="D6" s="182" t="s">
        <v>1114</v>
      </c>
      <c r="E6" s="182">
        <v>44</v>
      </c>
      <c r="F6" s="182" t="s">
        <v>159</v>
      </c>
      <c r="G6" s="182">
        <v>24</v>
      </c>
      <c r="H6" s="182" t="s">
        <v>159</v>
      </c>
      <c r="I6" s="182">
        <v>31</v>
      </c>
      <c r="J6" s="183">
        <f>+E6*G6*I6/6000000</f>
        <v>5.4559999999999999E-3</v>
      </c>
      <c r="K6" s="183">
        <v>11.904999999999999</v>
      </c>
      <c r="L6" s="183">
        <f>10.849/96</f>
        <v>0.11301041666666667</v>
      </c>
      <c r="M6" s="265">
        <v>3808949090</v>
      </c>
      <c r="N6" s="265" t="s">
        <v>6</v>
      </c>
    </row>
    <row r="7" spans="1:15" s="3" customFormat="1" ht="19.5" x14ac:dyDescent="0.2">
      <c r="A7" s="264"/>
      <c r="B7" s="264"/>
      <c r="C7" s="182" t="s">
        <v>1098</v>
      </c>
      <c r="D7" s="182" t="s">
        <v>1115</v>
      </c>
      <c r="E7" s="182">
        <v>56.4</v>
      </c>
      <c r="F7" s="182" t="s">
        <v>159</v>
      </c>
      <c r="G7" s="182">
        <v>37.200000000000003</v>
      </c>
      <c r="H7" s="182" t="s">
        <v>159</v>
      </c>
      <c r="I7" s="182">
        <v>18.399999999999999</v>
      </c>
      <c r="J7" s="183">
        <f t="shared" ref="J7:J18" si="0">+E7*G7*I7/6000000</f>
        <v>6.4341119999999996E-3</v>
      </c>
      <c r="K7" s="183">
        <v>12.55</v>
      </c>
      <c r="L7" s="183">
        <f>11.585/24</f>
        <v>0.48270833333333335</v>
      </c>
      <c r="M7" s="266"/>
      <c r="N7" s="266"/>
    </row>
    <row r="8" spans="1:15" s="3" customFormat="1" ht="58.5" x14ac:dyDescent="0.2">
      <c r="A8" s="181" t="s">
        <v>1091</v>
      </c>
      <c r="B8" s="181" t="s">
        <v>1124</v>
      </c>
      <c r="C8" s="182" t="s">
        <v>41</v>
      </c>
      <c r="D8" s="182" t="s">
        <v>1100</v>
      </c>
      <c r="E8" s="182">
        <v>46</v>
      </c>
      <c r="F8" s="182" t="s">
        <v>159</v>
      </c>
      <c r="G8" s="182">
        <v>41</v>
      </c>
      <c r="H8" s="182" t="s">
        <v>159</v>
      </c>
      <c r="I8" s="182">
        <v>42</v>
      </c>
      <c r="J8" s="183">
        <f t="shared" si="0"/>
        <v>1.3202E-2</v>
      </c>
      <c r="K8" s="183">
        <v>15</v>
      </c>
      <c r="L8" s="183">
        <f>+K8/36</f>
        <v>0.41666666666666669</v>
      </c>
      <c r="M8" s="182">
        <v>3401190000</v>
      </c>
      <c r="N8" s="182" t="s">
        <v>6</v>
      </c>
    </row>
    <row r="9" spans="1:15" s="3" customFormat="1" ht="58.5" x14ac:dyDescent="0.2">
      <c r="A9" s="181" t="s">
        <v>1108</v>
      </c>
      <c r="B9" s="181" t="s">
        <v>1122</v>
      </c>
      <c r="C9" s="182" t="s">
        <v>9</v>
      </c>
      <c r="D9" s="182" t="s">
        <v>1101</v>
      </c>
      <c r="E9" s="182">
        <v>67</v>
      </c>
      <c r="F9" s="182" t="s">
        <v>159</v>
      </c>
      <c r="G9" s="182">
        <v>37</v>
      </c>
      <c r="H9" s="182" t="s">
        <v>159</v>
      </c>
      <c r="I9" s="182">
        <v>32</v>
      </c>
      <c r="J9" s="183">
        <f t="shared" si="0"/>
        <v>1.3221333333333333E-2</v>
      </c>
      <c r="K9" s="183">
        <v>9.0969999999999995</v>
      </c>
      <c r="L9" s="183">
        <f>+K9/30</f>
        <v>0.3032333333333333</v>
      </c>
      <c r="M9" s="265">
        <v>6307909810</v>
      </c>
      <c r="N9" s="265" t="s">
        <v>6</v>
      </c>
    </row>
    <row r="10" spans="1:15" s="3" customFormat="1" ht="58.5" x14ac:dyDescent="0.2">
      <c r="A10" s="181" t="s">
        <v>1109</v>
      </c>
      <c r="B10" s="181" t="s">
        <v>1122</v>
      </c>
      <c r="C10" s="182" t="s">
        <v>9</v>
      </c>
      <c r="D10" s="182" t="s">
        <v>1110</v>
      </c>
      <c r="E10" s="182">
        <v>53</v>
      </c>
      <c r="F10" s="182"/>
      <c r="G10" s="182">
        <v>38</v>
      </c>
      <c r="H10" s="182"/>
      <c r="I10" s="182">
        <v>53</v>
      </c>
      <c r="J10" s="183">
        <f t="shared" si="0"/>
        <v>1.7790333333333332E-2</v>
      </c>
      <c r="K10" s="183">
        <v>11.58</v>
      </c>
      <c r="L10" s="183">
        <f>+K10/50</f>
        <v>0.2316</v>
      </c>
      <c r="M10" s="266"/>
      <c r="N10" s="266"/>
    </row>
    <row r="11" spans="1:15" s="3" customFormat="1" ht="39" x14ac:dyDescent="0.2">
      <c r="A11" s="181" t="s">
        <v>1092</v>
      </c>
      <c r="B11" s="181" t="s">
        <v>1125</v>
      </c>
      <c r="C11" s="182" t="s">
        <v>9</v>
      </c>
      <c r="D11" s="182" t="s">
        <v>1102</v>
      </c>
      <c r="E11" s="182">
        <v>52.5</v>
      </c>
      <c r="F11" s="182" t="s">
        <v>159</v>
      </c>
      <c r="G11" s="182">
        <v>46</v>
      </c>
      <c r="H11" s="182" t="s">
        <v>159</v>
      </c>
      <c r="I11" s="182">
        <v>40</v>
      </c>
      <c r="J11" s="183">
        <f t="shared" si="0"/>
        <v>1.61E-2</v>
      </c>
      <c r="K11" s="183">
        <v>7.7</v>
      </c>
      <c r="L11" s="183">
        <f>+K11/100</f>
        <v>7.6999999999999999E-2</v>
      </c>
      <c r="M11" s="182">
        <v>9004909000</v>
      </c>
      <c r="N11" s="182" t="s">
        <v>6</v>
      </c>
    </row>
    <row r="12" spans="1:15" s="3" customFormat="1" ht="19.5" x14ac:dyDescent="0.2">
      <c r="A12" s="263" t="s">
        <v>1093</v>
      </c>
      <c r="B12" s="263" t="s">
        <v>1095</v>
      </c>
      <c r="C12" s="182" t="s">
        <v>525</v>
      </c>
      <c r="D12" s="265" t="s">
        <v>1103</v>
      </c>
      <c r="E12" s="265">
        <v>33.5</v>
      </c>
      <c r="F12" s="265" t="s">
        <v>159</v>
      </c>
      <c r="G12" s="265">
        <v>26.5</v>
      </c>
      <c r="H12" s="265" t="s">
        <v>159</v>
      </c>
      <c r="I12" s="265">
        <v>26.5</v>
      </c>
      <c r="J12" s="268">
        <f t="shared" si="0"/>
        <v>3.9208958333333335E-3</v>
      </c>
      <c r="K12" s="183">
        <v>5.5</v>
      </c>
      <c r="L12" s="183">
        <f>4.5/10</f>
        <v>0.45</v>
      </c>
      <c r="M12" s="265">
        <v>4015190000</v>
      </c>
      <c r="N12" s="265" t="s">
        <v>6</v>
      </c>
    </row>
    <row r="13" spans="1:15" s="3" customFormat="1" ht="19.5" x14ac:dyDescent="0.2">
      <c r="A13" s="271"/>
      <c r="B13" s="271"/>
      <c r="C13" s="182" t="s">
        <v>526</v>
      </c>
      <c r="D13" s="267"/>
      <c r="E13" s="267"/>
      <c r="F13" s="267"/>
      <c r="G13" s="267"/>
      <c r="H13" s="267"/>
      <c r="I13" s="267"/>
      <c r="J13" s="269"/>
      <c r="K13" s="183">
        <v>6</v>
      </c>
      <c r="L13" s="183">
        <f t="shared" ref="L13:L14" si="1">4.5/10</f>
        <v>0.45</v>
      </c>
      <c r="M13" s="267"/>
      <c r="N13" s="267"/>
    </row>
    <row r="14" spans="1:15" s="3" customFormat="1" ht="19.5" x14ac:dyDescent="0.2">
      <c r="A14" s="264"/>
      <c r="B14" s="264"/>
      <c r="C14" s="182" t="s">
        <v>155</v>
      </c>
      <c r="D14" s="266"/>
      <c r="E14" s="266"/>
      <c r="F14" s="266"/>
      <c r="G14" s="266"/>
      <c r="H14" s="266"/>
      <c r="I14" s="266"/>
      <c r="J14" s="270"/>
      <c r="K14" s="183">
        <v>6.5</v>
      </c>
      <c r="L14" s="183">
        <f t="shared" si="1"/>
        <v>0.45</v>
      </c>
      <c r="M14" s="266"/>
      <c r="N14" s="266"/>
    </row>
    <row r="15" spans="1:15" s="3" customFormat="1" ht="58.5" x14ac:dyDescent="0.2">
      <c r="A15" s="181" t="s">
        <v>1096</v>
      </c>
      <c r="B15" s="181" t="s">
        <v>1126</v>
      </c>
      <c r="C15" s="182" t="s">
        <v>9</v>
      </c>
      <c r="D15" s="182" t="s">
        <v>1104</v>
      </c>
      <c r="E15" s="182">
        <v>66</v>
      </c>
      <c r="F15" s="182" t="s">
        <v>159</v>
      </c>
      <c r="G15" s="182">
        <v>42.5</v>
      </c>
      <c r="H15" s="182" t="s">
        <v>159</v>
      </c>
      <c r="I15" s="182">
        <v>30.5</v>
      </c>
      <c r="J15" s="183">
        <f t="shared" si="0"/>
        <v>1.4258750000000001E-2</v>
      </c>
      <c r="K15" s="183">
        <v>9</v>
      </c>
      <c r="L15" s="183">
        <v>0.48299999999999998</v>
      </c>
      <c r="M15" s="182">
        <v>3926909790</v>
      </c>
      <c r="N15" s="182" t="s">
        <v>6</v>
      </c>
    </row>
    <row r="16" spans="1:15" s="3" customFormat="1" ht="58.5" x14ac:dyDescent="0.2">
      <c r="A16" s="181" t="s">
        <v>1116</v>
      </c>
      <c r="B16" s="181" t="s">
        <v>1129</v>
      </c>
      <c r="C16" s="182" t="s">
        <v>9</v>
      </c>
      <c r="D16" s="182" t="s">
        <v>1117</v>
      </c>
      <c r="E16" s="182">
        <v>60</v>
      </c>
      <c r="F16" s="182" t="s">
        <v>159</v>
      </c>
      <c r="G16" s="182">
        <v>40</v>
      </c>
      <c r="H16" s="182" t="s">
        <v>159</v>
      </c>
      <c r="I16" s="182">
        <v>29</v>
      </c>
      <c r="J16" s="183">
        <f t="shared" si="0"/>
        <v>1.1599999999999999E-2</v>
      </c>
      <c r="K16" s="183">
        <v>7.5</v>
      </c>
      <c r="L16" s="183">
        <f>6.5/50</f>
        <v>0.13</v>
      </c>
      <c r="M16" s="182">
        <v>6117808000</v>
      </c>
      <c r="N16" s="182" t="s">
        <v>1133</v>
      </c>
    </row>
    <row r="17" spans="1:14" s="3" customFormat="1" ht="58.5" x14ac:dyDescent="0.2">
      <c r="A17" s="181" t="s">
        <v>1118</v>
      </c>
      <c r="B17" s="181" t="s">
        <v>1123</v>
      </c>
      <c r="C17" s="182" t="s">
        <v>86</v>
      </c>
      <c r="D17" s="182" t="s">
        <v>1103</v>
      </c>
      <c r="E17" s="182">
        <v>33.5</v>
      </c>
      <c r="F17" s="182" t="s">
        <v>159</v>
      </c>
      <c r="G17" s="182">
        <v>26.5</v>
      </c>
      <c r="H17" s="182" t="s">
        <v>159</v>
      </c>
      <c r="I17" s="182">
        <v>26.5</v>
      </c>
      <c r="J17" s="183">
        <f t="shared" si="0"/>
        <v>3.9208958333333335E-3</v>
      </c>
      <c r="K17" s="183">
        <v>5.5</v>
      </c>
      <c r="L17" s="183">
        <f>4.5/1000</f>
        <v>4.4999999999999997E-3</v>
      </c>
      <c r="M17" s="182">
        <v>4015190000</v>
      </c>
      <c r="N17" s="182" t="s">
        <v>6</v>
      </c>
    </row>
    <row r="18" spans="1:14" s="3" customFormat="1" ht="58.5" x14ac:dyDescent="0.2">
      <c r="A18" s="181" t="s">
        <v>1127</v>
      </c>
      <c r="B18" s="181" t="s">
        <v>1128</v>
      </c>
      <c r="C18" s="182" t="s">
        <v>9</v>
      </c>
      <c r="D18" s="182" t="s">
        <v>1103</v>
      </c>
      <c r="E18" s="182">
        <v>41</v>
      </c>
      <c r="F18" s="182" t="s">
        <v>159</v>
      </c>
      <c r="G18" s="182">
        <v>37</v>
      </c>
      <c r="H18" s="182" t="s">
        <v>159</v>
      </c>
      <c r="I18" s="182">
        <v>15</v>
      </c>
      <c r="J18" s="183">
        <f t="shared" si="0"/>
        <v>3.7924999999999999E-3</v>
      </c>
      <c r="K18" s="183">
        <v>10.7</v>
      </c>
      <c r="L18" s="183">
        <v>0.1</v>
      </c>
      <c r="M18" s="182">
        <v>3926909790</v>
      </c>
      <c r="N18" s="182" t="s">
        <v>6</v>
      </c>
    </row>
    <row r="19" spans="1:14" s="3" customFormat="1" ht="58.5" x14ac:dyDescent="0.2">
      <c r="A19" s="181" t="s">
        <v>1130</v>
      </c>
      <c r="B19" s="181" t="s">
        <v>1131</v>
      </c>
      <c r="C19" s="182" t="s">
        <v>9</v>
      </c>
      <c r="D19" s="182" t="s">
        <v>1134</v>
      </c>
      <c r="E19" s="182" t="s">
        <v>796</v>
      </c>
      <c r="F19" s="182" t="s">
        <v>159</v>
      </c>
      <c r="G19" s="182" t="s">
        <v>796</v>
      </c>
      <c r="H19" s="182" t="s">
        <v>159</v>
      </c>
      <c r="I19" s="182" t="s">
        <v>796</v>
      </c>
      <c r="J19" s="183" t="s">
        <v>796</v>
      </c>
      <c r="K19" s="183" t="s">
        <v>796</v>
      </c>
      <c r="L19" s="183" t="s">
        <v>796</v>
      </c>
      <c r="M19" s="182">
        <v>6117808000</v>
      </c>
      <c r="N19" s="182" t="s">
        <v>1133</v>
      </c>
    </row>
  </sheetData>
  <mergeCells count="30">
    <mergeCell ref="M9:M10"/>
    <mergeCell ref="N9:N10"/>
    <mergeCell ref="N12:N14"/>
    <mergeCell ref="G12:G14"/>
    <mergeCell ref="I12:I14"/>
    <mergeCell ref="F12:F14"/>
    <mergeCell ref="H12:H14"/>
    <mergeCell ref="J12:J14"/>
    <mergeCell ref="M12:M14"/>
    <mergeCell ref="A12:A14"/>
    <mergeCell ref="B12:B14"/>
    <mergeCell ref="D12:D14"/>
    <mergeCell ref="E12:E14"/>
    <mergeCell ref="A6:A7"/>
    <mergeCell ref="B6:B7"/>
    <mergeCell ref="M6:M7"/>
    <mergeCell ref="N6:N7"/>
    <mergeCell ref="C3:C5"/>
    <mergeCell ref="M3:M5"/>
    <mergeCell ref="N3:N5"/>
    <mergeCell ref="K1:K2"/>
    <mergeCell ref="L1:L2"/>
    <mergeCell ref="M1:M2"/>
    <mergeCell ref="N1:N2"/>
    <mergeCell ref="A1:A2"/>
    <mergeCell ref="B1:B2"/>
    <mergeCell ref="C1:C2"/>
    <mergeCell ref="D1:D2"/>
    <mergeCell ref="E1:I1"/>
    <mergeCell ref="J1:J2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5</vt:i4>
      </vt:variant>
    </vt:vector>
  </HeadingPairs>
  <TitlesOfParts>
    <vt:vector size="9" baseType="lpstr">
      <vt:lpstr>Result</vt:lpstr>
      <vt:lpstr>Headwear</vt:lpstr>
      <vt:lpstr>Spiro</vt:lpstr>
      <vt:lpstr>RESULT HYGIENE</vt:lpstr>
      <vt:lpstr>Headwear!Tulostusalue</vt:lpstr>
      <vt:lpstr>Result!Tulostusalue</vt:lpstr>
      <vt:lpstr>Headwear!Tulostusotsikot</vt:lpstr>
      <vt:lpstr>Result!Tulostusotsikot</vt:lpstr>
      <vt:lpstr>Spiro!Tulostusotsikot</vt:lpstr>
    </vt:vector>
  </TitlesOfParts>
  <Company>ISE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Tiina Ratilainen</cp:lastModifiedBy>
  <cp:lastPrinted>2020-04-21T13:52:33Z</cp:lastPrinted>
  <dcterms:created xsi:type="dcterms:W3CDTF">2007-07-10T12:01:47Z</dcterms:created>
  <dcterms:modified xsi:type="dcterms:W3CDTF">2020-09-14T08:57:03Z</dcterms:modified>
</cp:coreProperties>
</file>